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-2024 Budget" sheetId="1" r:id="rId4"/>
    <sheet state="visible" name="2022-2023 Budget" sheetId="2" r:id="rId5"/>
    <sheet state="visible" name="2021-2022 Budget" sheetId="3" r:id="rId6"/>
    <sheet state="visible" name="2020-2021 Budget" sheetId="4" r:id="rId7"/>
    <sheet state="visible" name="2019-2020 budget" sheetId="5" r:id="rId8"/>
  </sheets>
  <definedNames/>
  <calcPr/>
  <extLst>
    <ext uri="GoogleSheetsCustomDataVersion2">
      <go:sheetsCustomData xmlns:go="http://customooxmlschemas.google.com/" r:id="rId9" roundtripDataChecksum="OJgRHh5ZCGron01Rvry6QmADeqiyC6p4wCL+wSc/1M8="/>
    </ext>
  </extLst>
</workbook>
</file>

<file path=xl/sharedStrings.xml><?xml version="1.0" encoding="utf-8"?>
<sst xmlns="http://schemas.openxmlformats.org/spreadsheetml/2006/main" count="469" uniqueCount="160">
  <si>
    <t>TRMS PTA BUDGET</t>
  </si>
  <si>
    <t>2023-2024</t>
  </si>
  <si>
    <t>YTD</t>
  </si>
  <si>
    <t>Var. to Budget</t>
  </si>
  <si>
    <t>Last update</t>
  </si>
  <si>
    <t>INCOME</t>
  </si>
  <si>
    <t>Balance brought forward (prior year)</t>
  </si>
  <si>
    <t>Box Tops</t>
  </si>
  <si>
    <t>Membership</t>
  </si>
  <si>
    <t>Member staff matching</t>
  </si>
  <si>
    <t>Donation - Company matched</t>
  </si>
  <si>
    <t>Publix</t>
  </si>
  <si>
    <t>Kroger</t>
  </si>
  <si>
    <t>Spirit Wear</t>
  </si>
  <si>
    <t>Spirit Nights</t>
  </si>
  <si>
    <t>Students Events (dances)</t>
  </si>
  <si>
    <t>Sponsorship/Community Partner</t>
  </si>
  <si>
    <t>Photography</t>
  </si>
  <si>
    <t>Bingo Night</t>
  </si>
  <si>
    <t>Miscellaneous / fundraising 1 (winter) (PayPal Donation)</t>
  </si>
  <si>
    <t>Miscellaneous / fundraising 2 SAW (PayPal Donation)</t>
  </si>
  <si>
    <t>Interest Earned (savings)</t>
  </si>
  <si>
    <t>Total Income</t>
  </si>
  <si>
    <t xml:space="preserve"> </t>
  </si>
  <si>
    <t>EXPENSES</t>
  </si>
  <si>
    <t xml:space="preserve">Academic Enrichment </t>
  </si>
  <si>
    <t>Reflections</t>
  </si>
  <si>
    <t>Honor Roll Recognition (fall)</t>
  </si>
  <si>
    <t>Honor Roll Recognition (spring)</t>
  </si>
  <si>
    <t>Mini-Grant</t>
  </si>
  <si>
    <t>Teacher stipend (60@50)</t>
  </si>
  <si>
    <t xml:space="preserve">Total Academic Enrichment </t>
  </si>
  <si>
    <t>Administrative Support</t>
  </si>
  <si>
    <t>Membership Software (Membership Toolkit)</t>
  </si>
  <si>
    <t>New Teacher/Staff Welcome Kits/ birthdays</t>
  </si>
  <si>
    <t>Teacher/Staff SAW (Staff Appreciation Week)</t>
  </si>
  <si>
    <t>Teacher/Staff  Appreciation CN and Preplanning</t>
  </si>
  <si>
    <t>Teacher/Staff  Appreciation (Holiday Lunch)</t>
  </si>
  <si>
    <t>Teacher/Staff  Appreciation - Teacher of the year</t>
  </si>
  <si>
    <t>Total Administrative Support</t>
  </si>
  <si>
    <t>Community Support</t>
  </si>
  <si>
    <t>Campus Beautification</t>
  </si>
  <si>
    <t>Community Partnerships</t>
  </si>
  <si>
    <t>Total Community Support</t>
  </si>
  <si>
    <t>Membership Expenses</t>
  </si>
  <si>
    <t>Membership Exp.</t>
  </si>
  <si>
    <t>Spiritwear Expense</t>
  </si>
  <si>
    <t>GA PTA Dues</t>
  </si>
  <si>
    <t>Total Membership Expense</t>
  </si>
  <si>
    <t>General Operations</t>
  </si>
  <si>
    <t>Audit/Tax Preparation</t>
  </si>
  <si>
    <t>Annual Renewal / GA Secretary Of State</t>
  </si>
  <si>
    <t xml:space="preserve">Bank Fees </t>
  </si>
  <si>
    <t>PayPal fees / Luma Pay</t>
  </si>
  <si>
    <t>NFC PTA Dues</t>
  </si>
  <si>
    <t>Scholarship Fund</t>
  </si>
  <si>
    <t>Insurance</t>
  </si>
  <si>
    <t>Registration and Conventions Fees</t>
  </si>
  <si>
    <t>Board name Tags or shirts</t>
  </si>
  <si>
    <t>Miscellaneous Expenses - office supply</t>
  </si>
  <si>
    <t>QuickBooks (Accounting)</t>
  </si>
  <si>
    <t>Website Renewal  - Host (Weebly)</t>
  </si>
  <si>
    <t>Graphic Illustrations (Canva)</t>
  </si>
  <si>
    <t>Zoom Membership</t>
  </si>
  <si>
    <t>Total General Operations</t>
  </si>
  <si>
    <t>Student Appreciation/ Enrichment Activities</t>
  </si>
  <si>
    <t>6th Grade Boot Camp</t>
  </si>
  <si>
    <t>International Night</t>
  </si>
  <si>
    <t>Red Ribbon Week</t>
  </si>
  <si>
    <t>Student Activties-6th or Appreciation Gifts</t>
  </si>
  <si>
    <t>Student Activties-7th or Appreciation Gifts</t>
  </si>
  <si>
    <t>Student Activities-8th Winter or Appreciation Gifts</t>
  </si>
  <si>
    <t>Student Activities-8th Last Blast or EOY Gifts</t>
  </si>
  <si>
    <t>Student Activities - Bingo Night</t>
  </si>
  <si>
    <t>Total Student Enrichment</t>
  </si>
  <si>
    <t>Other Activities</t>
  </si>
  <si>
    <t xml:space="preserve">Volunteer Appreciation </t>
  </si>
  <si>
    <t>Board Dinner (May)</t>
  </si>
  <si>
    <t>Special Projects / Misc.</t>
  </si>
  <si>
    <t>Total Other Activities</t>
  </si>
  <si>
    <t>Total expenses</t>
  </si>
  <si>
    <t>Remaining</t>
  </si>
  <si>
    <t>Cash Reserves at Bank</t>
  </si>
  <si>
    <t>Enrichment</t>
  </si>
  <si>
    <t>2022-2023</t>
  </si>
  <si>
    <t>before fees</t>
  </si>
  <si>
    <t>AmazonSmile</t>
  </si>
  <si>
    <t xml:space="preserve"> Photography</t>
  </si>
  <si>
    <t>Student Activities Misc.</t>
  </si>
  <si>
    <t>(plus743.16 from Teacher Stipend)</t>
  </si>
  <si>
    <r>
      <rPr>
        <rFont val="Arial"/>
        <color theme="1"/>
        <sz val="8.0"/>
      </rPr>
      <t>(plus fund from PayPal donation - $1550)</t>
    </r>
    <r>
      <rPr>
        <rFont val="Arial"/>
        <b/>
        <color theme="1"/>
        <sz val="8.0"/>
      </rPr>
      <t>$441</t>
    </r>
    <r>
      <rPr>
        <rFont val="Arial"/>
        <color theme="1"/>
        <sz val="8.0"/>
      </rPr>
      <t xml:space="preserve"> left for the staff</t>
    </r>
  </si>
  <si>
    <t>(plus fund from PayPal donation - $940)</t>
  </si>
  <si>
    <t>checkbook order</t>
  </si>
  <si>
    <t>Bank Reserves *</t>
  </si>
  <si>
    <t xml:space="preserve">NFC Awards </t>
  </si>
  <si>
    <t>Website - domain (Godaddy)</t>
  </si>
  <si>
    <t>Photo Editing (PicMonkey)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</si>
  <si>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</si>
  <si>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Other</t>
  </si>
  <si>
    <t>Carry Over for Start Up (what's left)</t>
  </si>
  <si>
    <t>2021-2022</t>
  </si>
  <si>
    <t>2018-2018 approved</t>
  </si>
  <si>
    <t>approved Feb2019?</t>
  </si>
  <si>
    <t>approved 4/24/2019?</t>
  </si>
  <si>
    <t>Actuals(6/30/2019)</t>
  </si>
  <si>
    <t>Students Events</t>
  </si>
  <si>
    <t>Sponsorship</t>
  </si>
  <si>
    <t>Tanner Photography</t>
  </si>
  <si>
    <t>cookies for valentine's day - $540</t>
  </si>
  <si>
    <t>the fund moved to SAW</t>
  </si>
  <si>
    <t>Teacher stipend (50@50)</t>
  </si>
  <si>
    <t>-</t>
  </si>
  <si>
    <t>New Teacher/Staff Welcome Kits (9)</t>
  </si>
  <si>
    <t>Move funds to mini grant</t>
  </si>
  <si>
    <t>plus funds from mini grant</t>
  </si>
  <si>
    <t>Using this from the 1k carry over from last year donations</t>
  </si>
  <si>
    <t xml:space="preserve">( +PayPal Donation) </t>
  </si>
  <si>
    <t>Ms.Sheppard's Project</t>
  </si>
  <si>
    <t>Annual Renewal</t>
  </si>
  <si>
    <t>PayPal fees</t>
  </si>
  <si>
    <t xml:space="preserve">instead of board shirts + volunteers appriciation </t>
  </si>
  <si>
    <t>Board Shirts (8 shirts *25)</t>
  </si>
  <si>
    <t>Miscellaneous Expenses - Box Tops Shipping</t>
  </si>
  <si>
    <t xml:space="preserve">5 years </t>
  </si>
  <si>
    <t>Student Appreciation</t>
  </si>
  <si>
    <t>Board Dinner (December and May)</t>
  </si>
  <si>
    <t>total income</t>
  </si>
  <si>
    <t>total expense</t>
  </si>
  <si>
    <t>carry over</t>
  </si>
  <si>
    <t>2020-2021</t>
  </si>
  <si>
    <t>YTD (6/30/2021)</t>
  </si>
  <si>
    <t>donations</t>
  </si>
  <si>
    <t>Bank  account Balance for 6.30.21</t>
  </si>
  <si>
    <t>Saving</t>
  </si>
  <si>
    <t xml:space="preserve">Checking </t>
  </si>
  <si>
    <t>Student Activities</t>
  </si>
  <si>
    <t>Teacher/Staff SAW (Staff Appriciation Week)</t>
  </si>
  <si>
    <t xml:space="preserve">(We used PayPal Donation) </t>
  </si>
  <si>
    <t>Teacher/Staff  Appreciation Monthly Lunch Series</t>
  </si>
  <si>
    <t>admin general expense</t>
  </si>
  <si>
    <t>membership expense</t>
  </si>
  <si>
    <t>Student Enrichment</t>
  </si>
  <si>
    <t>2019-20 Final</t>
  </si>
  <si>
    <t>YTD (07/16/2020)</t>
  </si>
  <si>
    <t xml:space="preserve">updated  </t>
  </si>
  <si>
    <t>Teacher stipend (100 @ 50)</t>
  </si>
  <si>
    <t>Hospitality</t>
  </si>
  <si>
    <t>No Lunch for the end of thec year- covid 19 - We sent Panera e-gift cards</t>
  </si>
  <si>
    <t>Teacher/Staff  Appreciation - Holidays</t>
  </si>
  <si>
    <t>State and National Dues</t>
  </si>
  <si>
    <t>?</t>
  </si>
  <si>
    <t>Admin Expenses (Nametags)</t>
  </si>
  <si>
    <t>total admin general expense</t>
  </si>
  <si>
    <t>no event - covid 19</t>
  </si>
  <si>
    <t>Student Activties-6th</t>
  </si>
  <si>
    <t>Student Activties-7th</t>
  </si>
  <si>
    <t xml:space="preserve">Student Activities-8th Winter </t>
  </si>
  <si>
    <t>Student Activities-8th Last Blast</t>
  </si>
  <si>
    <t>no  event - covid 19 -We bought picture frames I - a refund will be issued soon)</t>
  </si>
  <si>
    <t>Volunteer Appreciation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</si>
</sst>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09]* #,##0.00_);_([$$-409]* \(#,##0.00\);_([$$-409]* &quot;-&quot;??_);_(@_)"/>
    <numFmt numFmtId="167" formatCode="&quot;$&quot;#,##0.00"/>
    <numFmt numFmtId="168" formatCode="&quot;$&quot;#,##0"/>
  </numFmts>
  <fonts count="33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Times New Roman"/>
    </font>
    <font>
      <b/>
      <i/>
      <sz val="10.0"/>
      <color theme="1"/>
      <name val="Arial"/>
    </font>
    <font>
      <b/>
      <sz val="14.0"/>
      <color theme="1"/>
      <name val="Times New Roman"/>
    </font>
    <font>
      <b/>
      <sz val="10.0"/>
      <color theme="1"/>
      <name val="Times New Roman"/>
    </font>
    <font>
      <b/>
      <sz val="12.0"/>
      <color rgb="FF000000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i/>
      <sz val="10.0"/>
      <color theme="1"/>
      <name val="Arial"/>
    </font>
    <font>
      <sz val="10.0"/>
      <color rgb="FF000000"/>
      <name val="Arial"/>
    </font>
    <font>
      <i/>
      <sz val="10.0"/>
      <color rgb="FF000000"/>
      <name val="Arial"/>
    </font>
    <font>
      <sz val="11.0"/>
      <color rgb="FF2C2E2F"/>
      <name val="Arial"/>
    </font>
    <font>
      <b/>
      <sz val="10.0"/>
      <color rgb="FFFF0000"/>
      <name val="Arial"/>
    </font>
    <font>
      <color theme="1"/>
      <name val="Arial"/>
      <scheme val="minor"/>
    </font>
    <font>
      <b/>
      <sz val="10.0"/>
      <color rgb="FF000000"/>
      <name val="Times New Roman"/>
    </font>
    <font>
      <sz val="8.0"/>
      <color theme="1"/>
      <name val="Arial"/>
    </font>
    <font>
      <b/>
      <i/>
      <sz val="10.0"/>
      <color rgb="FF000000"/>
      <name val="Arial"/>
    </font>
    <font>
      <b/>
      <sz val="10.0"/>
      <color rgb="FF333333"/>
      <name val="Arial"/>
    </font>
    <font>
      <b/>
      <sz val="10.0"/>
      <color rgb="FFFF0000"/>
      <name val="Times New Roman"/>
    </font>
    <font>
      <b/>
      <sz val="11.0"/>
      <color theme="1"/>
      <name val="Times New Roman"/>
    </font>
    <font>
      <sz val="17.0"/>
      <color rgb="FF454545"/>
      <name val=".sfuitext"/>
    </font>
    <font>
      <b/>
      <sz val="8.0"/>
      <color rgb="FF2C2E2F"/>
      <name val="Arial"/>
    </font>
    <font>
      <u/>
      <sz val="8.0"/>
      <color theme="10"/>
      <name val="Arial"/>
    </font>
    <font>
      <sz val="8.0"/>
      <color rgb="FF000000"/>
      <name val="Arial"/>
    </font>
    <font>
      <i/>
      <sz val="8.0"/>
      <color theme="1"/>
      <name val="Arial"/>
    </font>
    <font>
      <sz val="9.0"/>
      <color theme="1"/>
      <name val="Arial"/>
    </font>
    <font>
      <i/>
      <sz val="9.0"/>
      <color theme="1"/>
      <name val="Arial"/>
    </font>
    <font>
      <sz val="9.0"/>
      <color theme="1"/>
      <name val="Times New Roman"/>
    </font>
    <font>
      <sz val="10.0"/>
      <color rgb="FF2C2E2F"/>
      <name val="Arial"/>
    </font>
    <font>
      <u/>
      <sz val="10.0"/>
      <color theme="10"/>
      <name val="Arial"/>
    </font>
    <font>
      <i/>
      <sz val="10.0"/>
      <color theme="1"/>
      <name val="Times New Roman"/>
    </font>
  </fonts>
  <fills count="1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ECECEC"/>
        <bgColor rgb="FFECECEC"/>
      </patternFill>
    </fill>
    <fill>
      <patternFill patternType="solid">
        <fgColor rgb="FF8EAADB"/>
        <bgColor rgb="FF8EAADB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FFD965"/>
        <bgColor rgb="FFFFD965"/>
      </patternFill>
    </fill>
    <fill>
      <patternFill patternType="solid">
        <fgColor rgb="FF92D050"/>
        <bgColor rgb="FF92D050"/>
      </patternFill>
    </fill>
    <fill>
      <patternFill patternType="solid">
        <fgColor rgb="FFC8C8C8"/>
        <bgColor rgb="FFC8C8C8"/>
      </patternFill>
    </fill>
    <fill>
      <patternFill patternType="solid">
        <fgColor rgb="FFFFE598"/>
        <bgColor rgb="FFFFE598"/>
      </patternFill>
    </fill>
  </fills>
  <borders count="25">
    <border/>
    <border>
      <left style="thin">
        <color rgb="FF000000"/>
      </left>
      <right/>
      <top style="thin">
        <color rgb="FF000000"/>
      </top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 style="thin">
        <color rgb="FF000000"/>
      </right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93">
    <xf borderId="0" fillId="0" fontId="0" numFmtId="0" xfId="0" applyAlignment="1" applyFont="1">
      <alignment readingOrder="0" shrinkToFit="0" vertical="bottom" wrapText="0"/>
    </xf>
    <xf borderId="1" fillId="2" fontId="1" numFmtId="164" xfId="0" applyBorder="1" applyFill="1" applyFont="1" applyNumberFormat="1"/>
    <xf borderId="0" fillId="0" fontId="2" numFmtId="0" xfId="0" applyAlignment="1" applyFont="1">
      <alignment horizontal="left"/>
    </xf>
    <xf borderId="2" fillId="2" fontId="3" numFmtId="0" xfId="0" applyBorder="1" applyFont="1"/>
    <xf borderId="0" fillId="0" fontId="1" numFmtId="0" xfId="0" applyFont="1"/>
    <xf borderId="3" fillId="3" fontId="4" numFmtId="0" xfId="0" applyBorder="1" applyFill="1" applyFont="1"/>
    <xf borderId="4" fillId="3" fontId="5" numFmtId="16" xfId="0" applyAlignment="1" applyBorder="1" applyFont="1" applyNumberFormat="1">
      <alignment horizontal="right"/>
    </xf>
    <xf borderId="5" fillId="3" fontId="6" numFmtId="0" xfId="0" applyAlignment="1" applyBorder="1" applyFont="1">
      <alignment horizontal="center" readingOrder="0"/>
    </xf>
    <xf borderId="6" fillId="4" fontId="6" numFmtId="0" xfId="0" applyAlignment="1" applyBorder="1" applyFill="1" applyFont="1">
      <alignment horizontal="center"/>
    </xf>
    <xf borderId="7" fillId="3" fontId="7" numFmtId="0" xfId="0" applyAlignment="1" applyBorder="1" applyFont="1">
      <alignment horizontal="center"/>
    </xf>
    <xf borderId="0" fillId="0" fontId="8" numFmtId="0" xfId="0" applyFont="1"/>
    <xf borderId="2" fillId="4" fontId="1" numFmtId="0" xfId="0" applyBorder="1" applyFont="1"/>
    <xf borderId="2" fillId="4" fontId="9" numFmtId="14" xfId="0" applyAlignment="1" applyBorder="1" applyFont="1" applyNumberFormat="1">
      <alignment readingOrder="0"/>
    </xf>
    <xf borderId="2" fillId="5" fontId="5" numFmtId="0" xfId="0" applyBorder="1" applyFill="1" applyFont="1"/>
    <xf borderId="0" fillId="0" fontId="2" numFmtId="165" xfId="0" applyFont="1" applyNumberFormat="1"/>
    <xf borderId="2" fillId="6" fontId="10" numFmtId="14" xfId="0" applyBorder="1" applyFill="1" applyFont="1" applyNumberFormat="1"/>
    <xf borderId="8" fillId="7" fontId="8" numFmtId="14" xfId="0" applyBorder="1" applyFill="1" applyFont="1" applyNumberFormat="1"/>
    <xf borderId="2" fillId="7" fontId="8" numFmtId="14" xfId="0" applyBorder="1" applyFont="1" applyNumberFormat="1"/>
    <xf borderId="0" fillId="0" fontId="2" numFmtId="0" xfId="0" applyFont="1"/>
    <xf borderId="2" fillId="6" fontId="10" numFmtId="164" xfId="0" applyAlignment="1" applyBorder="1" applyFont="1" applyNumberFormat="1">
      <alignment readingOrder="0"/>
    </xf>
    <xf borderId="8" fillId="7" fontId="10" numFmtId="164" xfId="0" applyAlignment="1" applyBorder="1" applyFont="1" applyNumberFormat="1">
      <alignment readingOrder="0"/>
    </xf>
    <xf borderId="2" fillId="7" fontId="8" numFmtId="164" xfId="0" applyBorder="1" applyFont="1" applyNumberFormat="1"/>
    <xf borderId="2" fillId="6" fontId="10" numFmtId="164" xfId="0" applyBorder="1" applyFont="1" applyNumberFormat="1"/>
    <xf borderId="8" fillId="7" fontId="8" numFmtId="164" xfId="0" applyBorder="1" applyFont="1" applyNumberFormat="1"/>
    <xf borderId="2" fillId="7" fontId="8" numFmtId="39" xfId="0" applyBorder="1" applyFont="1" applyNumberFormat="1"/>
    <xf borderId="2" fillId="6" fontId="11" numFmtId="164" xfId="0" applyBorder="1" applyFont="1" applyNumberFormat="1"/>
    <xf borderId="0" fillId="0" fontId="10" numFmtId="0" xfId="0" applyFont="1"/>
    <xf borderId="0" fillId="0" fontId="10" numFmtId="0" xfId="0" applyAlignment="1" applyFont="1">
      <alignment readingOrder="0"/>
    </xf>
    <xf borderId="0" fillId="0" fontId="2" numFmtId="0" xfId="0" applyAlignment="1" applyFont="1">
      <alignment readingOrder="0"/>
    </xf>
    <xf borderId="2" fillId="6" fontId="12" numFmtId="164" xfId="0" applyAlignment="1" applyBorder="1" applyFont="1" applyNumberFormat="1">
      <alignment readingOrder="0"/>
    </xf>
    <xf borderId="8" fillId="7" fontId="8" numFmtId="164" xfId="0" applyAlignment="1" applyBorder="1" applyFont="1" applyNumberFormat="1">
      <alignment readingOrder="0"/>
    </xf>
    <xf borderId="2" fillId="6" fontId="12" numFmtId="164" xfId="0" applyBorder="1" applyFont="1" applyNumberFormat="1"/>
    <xf borderId="8" fillId="7" fontId="11" numFmtId="164" xfId="0" applyAlignment="1" applyBorder="1" applyFont="1" applyNumberFormat="1">
      <alignment readingOrder="0"/>
    </xf>
    <xf borderId="2" fillId="2" fontId="10" numFmtId="0" xfId="0" applyBorder="1" applyFont="1"/>
    <xf borderId="8" fillId="7" fontId="13" numFmtId="4" xfId="0" applyBorder="1" applyFont="1" applyNumberFormat="1"/>
    <xf borderId="2" fillId="3" fontId="5" numFmtId="0" xfId="0" applyBorder="1" applyFont="1"/>
    <xf borderId="9" fillId="0" fontId="5" numFmtId="165" xfId="0" applyBorder="1" applyFont="1" applyNumberFormat="1"/>
    <xf borderId="10" fillId="3" fontId="1" numFmtId="164" xfId="0" applyBorder="1" applyFont="1" applyNumberFormat="1"/>
    <xf borderId="7" fillId="8" fontId="14" numFmtId="39" xfId="0" applyBorder="1" applyFill="1" applyFont="1" applyNumberFormat="1"/>
    <xf borderId="0" fillId="0" fontId="15" numFmtId="0" xfId="0" applyFont="1"/>
    <xf borderId="2" fillId="4" fontId="16" numFmtId="0" xfId="0" applyBorder="1" applyFont="1"/>
    <xf borderId="0" fillId="0" fontId="5" numFmtId="0" xfId="0" applyFont="1"/>
    <xf borderId="0" fillId="0" fontId="17" numFmtId="0" xfId="0" applyFont="1"/>
    <xf borderId="2" fillId="2" fontId="2" numFmtId="0" xfId="0" applyBorder="1" applyFont="1"/>
    <xf borderId="0" fillId="0" fontId="5" numFmtId="165" xfId="0" applyFont="1" applyNumberFormat="1"/>
    <xf borderId="11" fillId="6" fontId="1" numFmtId="165" xfId="0" applyBorder="1" applyFont="1" applyNumberFormat="1"/>
    <xf borderId="12" fillId="7" fontId="1" numFmtId="165" xfId="0" applyBorder="1" applyFont="1" applyNumberFormat="1"/>
    <xf borderId="11" fillId="7" fontId="1" numFmtId="164" xfId="0" applyBorder="1" applyFont="1" applyNumberFormat="1"/>
    <xf borderId="0" fillId="0" fontId="2" numFmtId="165" xfId="0" applyAlignment="1" applyFont="1" applyNumberFormat="1">
      <alignment shrinkToFit="1" wrapText="0"/>
    </xf>
    <xf borderId="2" fillId="2" fontId="8" numFmtId="0" xfId="0" applyBorder="1" applyFont="1"/>
    <xf borderId="2" fillId="2" fontId="17" numFmtId="0" xfId="0" applyBorder="1" applyFont="1"/>
    <xf borderId="8" fillId="7" fontId="8" numFmtId="4" xfId="0" applyAlignment="1" applyBorder="1" applyFont="1" applyNumberFormat="1">
      <alignment readingOrder="0"/>
    </xf>
    <xf borderId="0" fillId="0" fontId="2" numFmtId="164" xfId="0" applyFont="1" applyNumberFormat="1"/>
    <xf borderId="2" fillId="6" fontId="8" numFmtId="165" xfId="0" applyAlignment="1" applyBorder="1" applyFont="1" applyNumberFormat="1">
      <alignment readingOrder="0"/>
    </xf>
    <xf borderId="8" fillId="7" fontId="8" numFmtId="165" xfId="0" applyAlignment="1" applyBorder="1" applyFont="1" applyNumberFormat="1">
      <alignment readingOrder="0"/>
    </xf>
    <xf borderId="11" fillId="7" fontId="1" numFmtId="165" xfId="0" applyBorder="1" applyFont="1" applyNumberFormat="1"/>
    <xf borderId="8" fillId="7" fontId="11" numFmtId="164" xfId="0" applyBorder="1" applyFont="1" applyNumberFormat="1"/>
    <xf borderId="8" fillId="7" fontId="8" numFmtId="166" xfId="0" applyAlignment="1" applyBorder="1" applyFont="1" applyNumberFormat="1">
      <alignment readingOrder="0" vertical="center"/>
    </xf>
    <xf borderId="13" fillId="6" fontId="8" numFmtId="165" xfId="0" applyAlignment="1" applyBorder="1" applyFont="1" applyNumberFormat="1">
      <alignment readingOrder="0"/>
    </xf>
    <xf borderId="14" fillId="7" fontId="1" numFmtId="165" xfId="0" applyBorder="1" applyFont="1" applyNumberFormat="1"/>
    <xf borderId="13" fillId="6" fontId="10" numFmtId="164" xfId="0" applyBorder="1" applyFont="1" applyNumberFormat="1"/>
    <xf borderId="14" fillId="7" fontId="8" numFmtId="164" xfId="0" applyBorder="1" applyFont="1" applyNumberFormat="1"/>
    <xf borderId="13" fillId="7" fontId="8" numFmtId="164" xfId="0" applyBorder="1" applyFont="1" applyNumberFormat="1"/>
    <xf borderId="0" fillId="0" fontId="5" numFmtId="0" xfId="0" applyAlignment="1" applyFont="1">
      <alignment readingOrder="0"/>
    </xf>
    <xf borderId="15" fillId="6" fontId="1" numFmtId="165" xfId="0" applyBorder="1" applyFont="1" applyNumberFormat="1"/>
    <xf borderId="15" fillId="7" fontId="8" numFmtId="164" xfId="0" applyBorder="1" applyFont="1" applyNumberFormat="1"/>
    <xf borderId="10" fillId="4" fontId="1" numFmtId="167" xfId="0" applyBorder="1" applyFont="1" applyNumberFormat="1"/>
    <xf borderId="7" fillId="4" fontId="1" numFmtId="164" xfId="0" applyBorder="1" applyFont="1" applyNumberFormat="1"/>
    <xf borderId="0" fillId="0" fontId="1" numFmtId="164" xfId="0" applyAlignment="1" applyFont="1" applyNumberFormat="1">
      <alignment horizontal="right"/>
    </xf>
    <xf borderId="2" fillId="2" fontId="1" numFmtId="164" xfId="0" applyAlignment="1" applyBorder="1" applyFont="1" applyNumberFormat="1">
      <alignment horizontal="right"/>
    </xf>
    <xf borderId="0" fillId="0" fontId="8" numFmtId="164" xfId="0" applyFont="1" applyNumberFormat="1"/>
    <xf borderId="2" fillId="9" fontId="1" numFmtId="0" xfId="0" applyAlignment="1" applyBorder="1" applyFill="1" applyFont="1">
      <alignment readingOrder="0"/>
    </xf>
    <xf borderId="2" fillId="9" fontId="8" numFmtId="0" xfId="0" applyBorder="1" applyFont="1"/>
    <xf borderId="2" fillId="9" fontId="3" numFmtId="164" xfId="0" applyBorder="1" applyFont="1" applyNumberFormat="1"/>
    <xf borderId="2" fillId="10" fontId="5" numFmtId="0" xfId="0" applyAlignment="1" applyBorder="1" applyFill="1" applyFont="1">
      <alignment readingOrder="0"/>
    </xf>
    <xf borderId="2" fillId="10" fontId="5" numFmtId="0" xfId="0" applyAlignment="1" applyBorder="1" applyFont="1">
      <alignment shrinkToFit="1" wrapText="0"/>
    </xf>
    <xf borderId="2" fillId="10" fontId="3" numFmtId="167" xfId="0" applyAlignment="1" applyBorder="1" applyFont="1" applyNumberFormat="1">
      <alignment readingOrder="0"/>
    </xf>
    <xf borderId="2" fillId="2" fontId="10" numFmtId="164" xfId="0" applyBorder="1" applyFont="1" applyNumberFormat="1"/>
    <xf borderId="2" fillId="11" fontId="10" numFmtId="0" xfId="0" applyBorder="1" applyFill="1" applyFont="1"/>
    <xf borderId="5" fillId="3" fontId="6" numFmtId="0" xfId="0" applyAlignment="1" applyBorder="1" applyFont="1">
      <alignment horizontal="center"/>
    </xf>
    <xf borderId="2" fillId="4" fontId="9" numFmtId="14" xfId="0" applyBorder="1" applyFont="1" applyNumberFormat="1"/>
    <xf borderId="8" fillId="7" fontId="10" numFmtId="164" xfId="0" applyBorder="1" applyFont="1" applyNumberFormat="1"/>
    <xf borderId="2" fillId="6" fontId="18" numFmtId="164" xfId="0" applyBorder="1" applyFont="1" applyNumberFormat="1"/>
    <xf borderId="8" fillId="4" fontId="19" numFmtId="4" xfId="0" applyAlignment="1" applyBorder="1" applyFont="1" applyNumberFormat="1">
      <alignment horizontal="right" shrinkToFit="0" vertical="top" wrapText="1"/>
    </xf>
    <xf borderId="8" fillId="12" fontId="8" numFmtId="164" xfId="0" applyBorder="1" applyFill="1" applyFont="1" applyNumberFormat="1"/>
    <xf borderId="2" fillId="12" fontId="8" numFmtId="39" xfId="0" applyBorder="1" applyFont="1" applyNumberFormat="1"/>
    <xf borderId="2" fillId="4" fontId="20" numFmtId="0" xfId="0" applyBorder="1" applyFont="1"/>
    <xf borderId="8" fillId="7" fontId="8" numFmtId="4" xfId="0" applyBorder="1" applyFont="1" applyNumberFormat="1"/>
    <xf borderId="2" fillId="6" fontId="1" numFmtId="165" xfId="0" applyBorder="1" applyFont="1" applyNumberFormat="1"/>
    <xf borderId="8" fillId="7" fontId="1" numFmtId="165" xfId="0" applyBorder="1" applyFont="1" applyNumberFormat="1"/>
    <xf borderId="8" fillId="7" fontId="8" numFmtId="166" xfId="0" applyAlignment="1" applyBorder="1" applyFont="1" applyNumberFormat="1">
      <alignment vertical="center"/>
    </xf>
    <xf borderId="2" fillId="13" fontId="21" numFmtId="0" xfId="0" applyAlignment="1" applyBorder="1" applyFill="1" applyFont="1">
      <alignment horizontal="center"/>
    </xf>
    <xf borderId="16" fillId="13" fontId="2" numFmtId="164" xfId="0" applyBorder="1" applyFont="1" applyNumberFormat="1"/>
    <xf borderId="10" fillId="13" fontId="1" numFmtId="167" xfId="0" applyBorder="1" applyFont="1" applyNumberFormat="1"/>
    <xf borderId="7" fillId="14" fontId="1" numFmtId="164" xfId="0" applyBorder="1" applyFill="1" applyFont="1" applyNumberFormat="1"/>
    <xf borderId="2" fillId="14" fontId="1" numFmtId="0" xfId="0" applyBorder="1" applyFont="1"/>
    <xf borderId="2" fillId="14" fontId="3" numFmtId="164" xfId="0" applyBorder="1" applyFont="1" applyNumberFormat="1"/>
    <xf borderId="2" fillId="2" fontId="2" numFmtId="0" xfId="0" applyAlignment="1" applyBorder="1" applyFont="1">
      <alignment shrinkToFit="1" wrapText="0"/>
    </xf>
    <xf borderId="2" fillId="2" fontId="10" numFmtId="167" xfId="0" applyBorder="1" applyFont="1" applyNumberFormat="1"/>
    <xf borderId="17" fillId="4" fontId="6" numFmtId="0" xfId="0" applyAlignment="1" applyBorder="1" applyFont="1">
      <alignment horizontal="center"/>
    </xf>
    <xf borderId="0" fillId="0" fontId="8" numFmtId="14" xfId="0" applyFont="1" applyNumberFormat="1"/>
    <xf borderId="0" fillId="0" fontId="8" numFmtId="167" xfId="0" applyFont="1" applyNumberFormat="1"/>
    <xf borderId="2" fillId="4" fontId="1" numFmtId="16" xfId="0" applyAlignment="1" applyBorder="1" applyFont="1" applyNumberFormat="1">
      <alignment horizontal="center"/>
    </xf>
    <xf borderId="0" fillId="0" fontId="8" numFmtId="168" xfId="0" applyFont="1" applyNumberFormat="1"/>
    <xf borderId="0" fillId="0" fontId="10" numFmtId="167" xfId="0" applyFont="1" applyNumberFormat="1"/>
    <xf borderId="0" fillId="0" fontId="10" numFmtId="168" xfId="0" applyFont="1" applyNumberFormat="1"/>
    <xf borderId="2" fillId="2" fontId="22" numFmtId="0" xfId="0" applyAlignment="1" applyBorder="1" applyFont="1">
      <alignment horizontal="left" shrinkToFit="0" vertical="center" wrapText="1"/>
    </xf>
    <xf borderId="2" fillId="2" fontId="9" numFmtId="0" xfId="0" applyBorder="1" applyFont="1"/>
    <xf borderId="2" fillId="2" fontId="10" numFmtId="0" xfId="0" applyAlignment="1" applyBorder="1" applyFont="1">
      <alignment horizontal="right"/>
    </xf>
    <xf borderId="0" fillId="0" fontId="23" numFmtId="0" xfId="0" applyFont="1"/>
    <xf borderId="2" fillId="2" fontId="11" numFmtId="4" xfId="0" applyBorder="1" applyFont="1" applyNumberFormat="1"/>
    <xf borderId="2" fillId="2" fontId="3" numFmtId="4" xfId="0" applyBorder="1" applyFont="1" applyNumberFormat="1"/>
    <xf borderId="2" fillId="2" fontId="11" numFmtId="0" xfId="0" applyBorder="1" applyFont="1"/>
    <xf borderId="8" fillId="15" fontId="8" numFmtId="164" xfId="0" applyBorder="1" applyFill="1" applyFont="1" applyNumberFormat="1"/>
    <xf borderId="2" fillId="15" fontId="8" numFmtId="39" xfId="0" applyBorder="1" applyFont="1" applyNumberFormat="1"/>
    <xf borderId="2" fillId="4" fontId="3" numFmtId="0" xfId="0" applyBorder="1" applyFont="1"/>
    <xf borderId="2" fillId="2" fontId="23" numFmtId="4" xfId="0" applyBorder="1" applyFont="1" applyNumberFormat="1"/>
    <xf borderId="0" fillId="0" fontId="23" numFmtId="4" xfId="0" applyFont="1" applyNumberFormat="1"/>
    <xf borderId="0" fillId="0" fontId="10" numFmtId="164" xfId="0" applyFont="1" applyNumberFormat="1"/>
    <xf borderId="4" fillId="5" fontId="1" numFmtId="164" xfId="0" applyBorder="1" applyFont="1" applyNumberFormat="1"/>
    <xf borderId="7" fillId="8" fontId="1" numFmtId="39" xfId="0" applyBorder="1" applyFont="1" applyNumberFormat="1"/>
    <xf borderId="18" fillId="0" fontId="5" numFmtId="164" xfId="0" applyBorder="1" applyFont="1" applyNumberFormat="1"/>
    <xf borderId="12" fillId="0" fontId="5" numFmtId="164" xfId="0" applyBorder="1" applyFont="1" applyNumberFormat="1"/>
    <xf borderId="0" fillId="0" fontId="22" numFmtId="0" xfId="0" applyAlignment="1" applyFont="1">
      <alignment horizontal="left" shrinkToFit="0" vertical="center" wrapText="1"/>
    </xf>
    <xf borderId="0" fillId="0" fontId="17" numFmtId="4" xfId="0" applyFont="1" applyNumberFormat="1"/>
    <xf borderId="0" fillId="0" fontId="17" numFmtId="164" xfId="0" applyFont="1" applyNumberFormat="1"/>
    <xf borderId="2" fillId="2" fontId="24" numFmtId="0" xfId="0" applyBorder="1" applyFont="1"/>
    <xf borderId="0" fillId="0" fontId="25" numFmtId="0" xfId="0" applyFont="1"/>
    <xf borderId="0" fillId="0" fontId="26" numFmtId="0" xfId="0" applyFont="1"/>
    <xf borderId="0" fillId="0" fontId="27" numFmtId="0" xfId="0" applyFont="1"/>
    <xf borderId="0" fillId="0" fontId="27" numFmtId="164" xfId="0" applyFont="1" applyNumberFormat="1"/>
    <xf borderId="0" fillId="0" fontId="28" numFmtId="0" xfId="0" applyFont="1"/>
    <xf borderId="2" fillId="2" fontId="27" numFmtId="0" xfId="0" applyBorder="1" applyFont="1"/>
    <xf borderId="19" fillId="7" fontId="1" numFmtId="167" xfId="0" applyBorder="1" applyFont="1" applyNumberFormat="1"/>
    <xf borderId="0" fillId="0" fontId="1" numFmtId="167" xfId="0" applyFont="1" applyNumberFormat="1"/>
    <xf borderId="20" fillId="13" fontId="1" numFmtId="167" xfId="0" applyBorder="1" applyFont="1" applyNumberFormat="1"/>
    <xf borderId="18" fillId="0" fontId="2" numFmtId="167" xfId="0" applyBorder="1" applyFont="1" applyNumberFormat="1"/>
    <xf borderId="12" fillId="0" fontId="2" numFmtId="167" xfId="0" applyBorder="1" applyFont="1" applyNumberFormat="1"/>
    <xf borderId="21" fillId="0" fontId="1" numFmtId="164" xfId="0" applyAlignment="1" applyBorder="1" applyFont="1" applyNumberFormat="1">
      <alignment horizontal="right"/>
    </xf>
    <xf borderId="22" fillId="0" fontId="1" numFmtId="164" xfId="0" applyAlignment="1" applyBorder="1" applyFont="1" applyNumberFormat="1">
      <alignment horizontal="right"/>
    </xf>
    <xf borderId="14" fillId="0" fontId="1" numFmtId="164" xfId="0" applyAlignment="1" applyBorder="1" applyFont="1" applyNumberFormat="1">
      <alignment horizontal="right"/>
    </xf>
    <xf borderId="0" fillId="0" fontId="27" numFmtId="4" xfId="0" applyFont="1" applyNumberFormat="1"/>
    <xf borderId="0" fillId="0" fontId="29" numFmtId="0" xfId="0" applyFont="1"/>
    <xf borderId="4" fillId="3" fontId="6" numFmtId="0" xfId="0" applyAlignment="1" applyBorder="1" applyFont="1">
      <alignment horizontal="center"/>
    </xf>
    <xf borderId="4" fillId="4" fontId="6" numFmtId="0" xfId="0" applyAlignment="1" applyBorder="1" applyFont="1">
      <alignment horizontal="center"/>
    </xf>
    <xf borderId="23" fillId="3" fontId="7" numFmtId="0" xfId="0" applyAlignment="1" applyBorder="1" applyFont="1">
      <alignment horizontal="center"/>
    </xf>
    <xf borderId="2" fillId="7" fontId="10" numFmtId="14" xfId="0" applyBorder="1" applyFont="1" applyNumberFormat="1"/>
    <xf borderId="2" fillId="4" fontId="1" numFmtId="16" xfId="0" applyAlignment="1" applyBorder="1" applyFont="1" applyNumberFormat="1">
      <alignment horizontal="left"/>
    </xf>
    <xf borderId="2" fillId="7" fontId="10" numFmtId="164" xfId="0" applyBorder="1" applyFont="1" applyNumberFormat="1"/>
    <xf borderId="2" fillId="7" fontId="12" numFmtId="164" xfId="0" applyBorder="1" applyFont="1" applyNumberFormat="1"/>
    <xf borderId="2" fillId="4" fontId="19" numFmtId="4" xfId="0" applyAlignment="1" applyBorder="1" applyFont="1" applyNumberFormat="1">
      <alignment horizontal="right" shrinkToFit="0" vertical="top" wrapText="1"/>
    </xf>
    <xf borderId="2" fillId="7" fontId="11" numFmtId="164" xfId="0" applyBorder="1" applyFont="1" applyNumberFormat="1"/>
    <xf borderId="2" fillId="4" fontId="9" numFmtId="0" xfId="0" applyBorder="1" applyFont="1"/>
    <xf borderId="0" fillId="0" fontId="11" numFmtId="4" xfId="0" applyFont="1" applyNumberFormat="1"/>
    <xf borderId="2" fillId="7" fontId="1" numFmtId="164" xfId="0" applyBorder="1" applyFont="1" applyNumberFormat="1"/>
    <xf borderId="2" fillId="4" fontId="3" numFmtId="4" xfId="0" applyBorder="1" applyFont="1" applyNumberFormat="1"/>
    <xf borderId="2" fillId="6" fontId="8" numFmtId="164" xfId="0" applyBorder="1" applyFont="1" applyNumberFormat="1"/>
    <xf borderId="2" fillId="6" fontId="30" numFmtId="4" xfId="0" applyBorder="1" applyFont="1" applyNumberFormat="1"/>
    <xf borderId="24" fillId="5" fontId="1" numFmtId="164" xfId="0" applyBorder="1" applyFont="1" applyNumberFormat="1"/>
    <xf borderId="2" fillId="2" fontId="5" numFmtId="0" xfId="0" applyBorder="1" applyFont="1"/>
    <xf borderId="2" fillId="2" fontId="5" numFmtId="165" xfId="0" applyBorder="1" applyFont="1" applyNumberFormat="1"/>
    <xf borderId="2" fillId="2" fontId="1" numFmtId="164" xfId="0" applyBorder="1" applyFont="1" applyNumberFormat="1"/>
    <xf borderId="0" fillId="0" fontId="5" numFmtId="164" xfId="0" applyFont="1" applyNumberFormat="1"/>
    <xf borderId="0" fillId="0" fontId="8" numFmtId="4" xfId="0" applyFont="1" applyNumberFormat="1"/>
    <xf borderId="2" fillId="2" fontId="31" numFmtId="0" xfId="0" applyBorder="1" applyFont="1"/>
    <xf borderId="2" fillId="7" fontId="8" numFmtId="0" xfId="0" applyBorder="1" applyFont="1"/>
    <xf borderId="2" fillId="7" fontId="8" numFmtId="4" xfId="0" applyBorder="1" applyFont="1" applyNumberFormat="1"/>
    <xf borderId="2" fillId="7" fontId="1" numFmtId="165" xfId="0" applyBorder="1" applyFont="1" applyNumberFormat="1"/>
    <xf borderId="2" fillId="7" fontId="11" numFmtId="4" xfId="0" applyBorder="1" applyFont="1" applyNumberFormat="1"/>
    <xf borderId="2" fillId="7" fontId="8" numFmtId="166" xfId="0" applyAlignment="1" applyBorder="1" applyFont="1" applyNumberFormat="1">
      <alignment vertical="center"/>
    </xf>
    <xf borderId="2" fillId="7" fontId="5" numFmtId="165" xfId="0" applyBorder="1" applyFont="1" applyNumberFormat="1"/>
    <xf borderId="15" fillId="7" fontId="1" numFmtId="165" xfId="0" applyBorder="1" applyFont="1" applyNumberFormat="1"/>
    <xf borderId="15" fillId="7" fontId="1" numFmtId="167" xfId="0" applyBorder="1" applyFont="1" applyNumberFormat="1"/>
    <xf borderId="2" fillId="16" fontId="21" numFmtId="0" xfId="0" applyAlignment="1" applyBorder="1" applyFill="1" applyFont="1">
      <alignment horizontal="center"/>
    </xf>
    <xf borderId="16" fillId="16" fontId="2" numFmtId="164" xfId="0" applyBorder="1" applyFont="1" applyNumberFormat="1"/>
    <xf borderId="10" fillId="16" fontId="1" numFmtId="167" xfId="0" applyBorder="1" applyFont="1" applyNumberFormat="1"/>
    <xf borderId="24" fillId="16" fontId="1" numFmtId="167" xfId="0" applyBorder="1" applyFont="1" applyNumberFormat="1"/>
    <xf borderId="4" fillId="3" fontId="7" numFmtId="0" xfId="0" applyAlignment="1" applyBorder="1" applyFont="1">
      <alignment horizontal="center"/>
    </xf>
    <xf borderId="2" fillId="4" fontId="8" numFmtId="16" xfId="0" applyBorder="1" applyFont="1" applyNumberFormat="1"/>
    <xf borderId="0" fillId="0" fontId="8" numFmtId="39" xfId="0" applyFont="1" applyNumberFormat="1"/>
    <xf borderId="2" fillId="2" fontId="8" numFmtId="164" xfId="0" applyBorder="1" applyFont="1" applyNumberFormat="1"/>
    <xf borderId="12" fillId="0" fontId="5" numFmtId="165" xfId="0" applyBorder="1" applyFont="1" applyNumberFormat="1"/>
    <xf borderId="16" fillId="3" fontId="1" numFmtId="164" xfId="0" applyBorder="1" applyFont="1" applyNumberFormat="1"/>
    <xf borderId="11" fillId="5" fontId="1" numFmtId="164" xfId="0" applyBorder="1" applyFont="1" applyNumberFormat="1"/>
    <xf borderId="2" fillId="8" fontId="1" numFmtId="39" xfId="0" applyBorder="1" applyFont="1" applyNumberFormat="1"/>
    <xf borderId="0" fillId="0" fontId="1" numFmtId="165" xfId="0" applyFont="1" applyNumberFormat="1"/>
    <xf borderId="0" fillId="0" fontId="1" numFmtId="164" xfId="0" applyFont="1" applyNumberFormat="1"/>
    <xf borderId="2" fillId="2" fontId="8" numFmtId="4" xfId="0" applyBorder="1" applyFont="1" applyNumberFormat="1"/>
    <xf borderId="12" fillId="16" fontId="2" numFmtId="164" xfId="0" applyBorder="1" applyFont="1" applyNumberFormat="1"/>
    <xf borderId="12" fillId="16" fontId="1" numFmtId="167" xfId="0" applyBorder="1" applyFont="1" applyNumberFormat="1"/>
    <xf borderId="2" fillId="14" fontId="1" numFmtId="164" xfId="0" applyBorder="1" applyFont="1" applyNumberFormat="1"/>
    <xf borderId="8" fillId="2" fontId="1" numFmtId="164" xfId="0" applyAlignment="1" applyBorder="1" applyFont="1" applyNumberFormat="1">
      <alignment horizontal="right"/>
    </xf>
    <xf borderId="2" fillId="2" fontId="32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0.75"/>
    <col customWidth="1" min="2" max="2" width="6.0"/>
    <col customWidth="1" min="3" max="3" width="20.25"/>
    <col customWidth="1" min="4" max="4" width="20.38"/>
    <col customWidth="1" min="5" max="5" width="20.25"/>
    <col customWidth="1" min="6" max="6" width="10.0"/>
    <col customWidth="1" min="7" max="7" width="11.88"/>
    <col customWidth="1" min="8" max="8" width="21.75"/>
    <col customWidth="1" min="9" max="16" width="10.0"/>
    <col customWidth="1" min="17" max="26" width="14.38"/>
  </cols>
  <sheetData>
    <row r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>
      <c r="A2" s="5" t="s">
        <v>0</v>
      </c>
      <c r="B2" s="6"/>
      <c r="C2" s="7" t="s">
        <v>1</v>
      </c>
      <c r="D2" s="8" t="s">
        <v>2</v>
      </c>
      <c r="E2" s="9" t="s">
        <v>3</v>
      </c>
      <c r="F2" s="10"/>
      <c r="G2" s="11" t="s">
        <v>4</v>
      </c>
      <c r="H2" s="12">
        <v>45265.0</v>
      </c>
      <c r="I2" s="10"/>
      <c r="J2" s="10"/>
      <c r="K2" s="10"/>
      <c r="L2" s="10"/>
      <c r="M2" s="10"/>
      <c r="N2" s="10"/>
      <c r="O2" s="10"/>
      <c r="P2" s="10"/>
    </row>
    <row r="3" ht="12.75" customHeight="1">
      <c r="A3" s="13" t="s">
        <v>5</v>
      </c>
      <c r="B3" s="14"/>
      <c r="C3" s="15"/>
      <c r="D3" s="16"/>
      <c r="E3" s="1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ht="12.0" customHeight="1">
      <c r="A4" s="18" t="s">
        <v>6</v>
      </c>
      <c r="B4" s="14"/>
      <c r="C4" s="19">
        <f>2720.13+2793.02-3000</f>
        <v>2513.15</v>
      </c>
      <c r="D4" s="20"/>
      <c r="E4" s="21">
        <v>0.0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12.0" customHeight="1">
      <c r="A5" s="18" t="s">
        <v>7</v>
      </c>
      <c r="B5" s="14"/>
      <c r="C5" s="22">
        <v>130.0</v>
      </c>
      <c r="D5" s="23"/>
      <c r="E5" s="24">
        <f t="shared" ref="E5:E20" si="1">(D5-C5)</f>
        <v>-130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12.0" customHeight="1">
      <c r="A6" s="18" t="s">
        <v>8</v>
      </c>
      <c r="B6" s="14"/>
      <c r="C6" s="25">
        <v>25000.0</v>
      </c>
      <c r="D6" s="23">
        <f>3905+19220+1955+1410+80</f>
        <v>26570</v>
      </c>
      <c r="E6" s="24">
        <f t="shared" si="1"/>
        <v>1570</v>
      </c>
      <c r="F6" s="26"/>
      <c r="G6" s="27"/>
      <c r="H6" s="26"/>
      <c r="I6" s="26"/>
      <c r="J6" s="26"/>
      <c r="K6" s="26"/>
      <c r="L6" s="26"/>
      <c r="M6" s="26"/>
      <c r="N6" s="26"/>
      <c r="O6" s="26"/>
      <c r="P6" s="26"/>
    </row>
    <row r="7" ht="12.0" customHeight="1">
      <c r="A7" s="28" t="s">
        <v>9</v>
      </c>
      <c r="B7" s="14"/>
      <c r="C7" s="29">
        <v>500.0</v>
      </c>
      <c r="D7" s="30">
        <f>340+30+20</f>
        <v>390</v>
      </c>
      <c r="E7" s="24">
        <f t="shared" si="1"/>
        <v>-110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ht="12.0" customHeight="1">
      <c r="A8" s="18" t="s">
        <v>10</v>
      </c>
      <c r="B8" s="14"/>
      <c r="C8" s="31">
        <v>1500.0</v>
      </c>
      <c r="D8" s="30">
        <f>37.72+37.51+300+37.73+57.9+38.46</f>
        <v>509.32</v>
      </c>
      <c r="E8" s="24">
        <f t="shared" si="1"/>
        <v>-990.68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ht="12.0" customHeight="1">
      <c r="A9" s="18" t="s">
        <v>11</v>
      </c>
      <c r="B9" s="14"/>
      <c r="C9" s="31">
        <v>1200.0</v>
      </c>
      <c r="D9" s="32">
        <f>291.2+317.13</f>
        <v>608.33</v>
      </c>
      <c r="E9" s="24">
        <f t="shared" si="1"/>
        <v>-591.67</v>
      </c>
      <c r="F9" s="33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ht="12.0" customHeight="1">
      <c r="A10" s="18" t="s">
        <v>12</v>
      </c>
      <c r="B10" s="14"/>
      <c r="C10" s="31">
        <v>350.0</v>
      </c>
      <c r="D10" s="32">
        <f>72.61+74.11</f>
        <v>146.72</v>
      </c>
      <c r="E10" s="24">
        <f t="shared" si="1"/>
        <v>-203.28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ht="12.0" customHeight="1">
      <c r="A11" s="18" t="s">
        <v>13</v>
      </c>
      <c r="B11" s="14"/>
      <c r="C11" s="29">
        <v>1000.0</v>
      </c>
      <c r="D11" s="30">
        <v>734.05</v>
      </c>
      <c r="E11" s="24">
        <f t="shared" si="1"/>
        <v>-265.95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ht="12.0" customHeight="1">
      <c r="A12" s="18" t="s">
        <v>14</v>
      </c>
      <c r="B12" s="14"/>
      <c r="C12" s="19">
        <v>1800.0</v>
      </c>
      <c r="D12" s="30">
        <f>75+359.29</f>
        <v>434.29</v>
      </c>
      <c r="E12" s="24">
        <f t="shared" si="1"/>
        <v>-1365.71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ht="12.0" customHeight="1">
      <c r="A13" s="18" t="s">
        <v>15</v>
      </c>
      <c r="B13" s="14"/>
      <c r="C13" s="22">
        <v>4000.0</v>
      </c>
      <c r="D13" s="30">
        <f>20+740</f>
        <v>760</v>
      </c>
      <c r="E13" s="24">
        <f t="shared" si="1"/>
        <v>-3240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ht="12.0" customHeight="1">
      <c r="A14" s="18" t="s">
        <v>16</v>
      </c>
      <c r="B14" s="14"/>
      <c r="C14" s="22">
        <v>1000.0</v>
      </c>
      <c r="D14" s="30">
        <v>750.0</v>
      </c>
      <c r="E14" s="24">
        <f t="shared" si="1"/>
        <v>-250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ht="12.0" customHeight="1">
      <c r="A15" s="28" t="s">
        <v>17</v>
      </c>
      <c r="B15" s="14"/>
      <c r="C15" s="19">
        <v>2000.0</v>
      </c>
      <c r="D15" s="23"/>
      <c r="E15" s="24">
        <f t="shared" si="1"/>
        <v>-2000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ht="12.0" customHeight="1">
      <c r="A16" s="28" t="s">
        <v>18</v>
      </c>
      <c r="B16" s="14"/>
      <c r="C16" s="19">
        <v>2000.0</v>
      </c>
      <c r="D16" s="23"/>
      <c r="E16" s="24">
        <f t="shared" si="1"/>
        <v>-2000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ht="12.0" customHeight="1">
      <c r="A17" s="18" t="s">
        <v>19</v>
      </c>
      <c r="B17" s="14"/>
      <c r="C17" s="19">
        <v>1000.0</v>
      </c>
      <c r="D17" s="23">
        <v>225.0</v>
      </c>
      <c r="E17" s="24">
        <f t="shared" si="1"/>
        <v>-775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ht="12.0" customHeight="1">
      <c r="A18" s="18" t="s">
        <v>20</v>
      </c>
      <c r="B18" s="14"/>
      <c r="C18" s="22">
        <v>1500.0</v>
      </c>
      <c r="D18" s="34"/>
      <c r="E18" s="24">
        <f t="shared" si="1"/>
        <v>-1500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ht="12.0" customHeight="1">
      <c r="A19" s="18" t="s">
        <v>21</v>
      </c>
      <c r="B19" s="14"/>
      <c r="C19" s="22">
        <v>2.0</v>
      </c>
      <c r="D19" s="30">
        <f>0.02+0.12+0.15+0.18+0.17</f>
        <v>0.64</v>
      </c>
      <c r="E19" s="24">
        <f t="shared" si="1"/>
        <v>-1.36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ht="12.0" customHeight="1">
      <c r="A20" s="35" t="s">
        <v>22</v>
      </c>
      <c r="B20" s="36"/>
      <c r="C20" s="37">
        <f t="shared" ref="C20:D20" si="2">SUM(C4:C19)</f>
        <v>45495.15</v>
      </c>
      <c r="D20" s="37">
        <f t="shared" si="2"/>
        <v>31128.35</v>
      </c>
      <c r="E20" s="38">
        <f t="shared" si="1"/>
        <v>-14366.8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39" t="s">
        <v>23</v>
      </c>
    </row>
    <row r="21" ht="11.25" customHeight="1">
      <c r="A21" s="40" t="s">
        <v>24</v>
      </c>
      <c r="B21" s="14"/>
      <c r="C21" s="22"/>
      <c r="D21" s="23"/>
      <c r="E21" s="21">
        <f>C21-D21</f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ht="12.0" customHeight="1">
      <c r="A22" s="41" t="s">
        <v>25</v>
      </c>
      <c r="B22" s="14"/>
      <c r="C22" s="22"/>
      <c r="D22" s="23"/>
      <c r="E22" s="2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ht="12.0" customHeight="1">
      <c r="A23" s="18" t="s">
        <v>26</v>
      </c>
      <c r="B23" s="14"/>
      <c r="C23" s="22">
        <v>500.0</v>
      </c>
      <c r="D23" s="23"/>
      <c r="E23" s="21">
        <f t="shared" ref="E23:E28" si="3">C23-D23</f>
        <v>500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ht="12.0" customHeight="1">
      <c r="A24" s="18" t="s">
        <v>27</v>
      </c>
      <c r="B24" s="14"/>
      <c r="C24" s="22">
        <v>1200.0</v>
      </c>
      <c r="D24" s="30">
        <v>1179.76</v>
      </c>
      <c r="E24" s="21">
        <f t="shared" si="3"/>
        <v>20.24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ht="12.0" customHeight="1">
      <c r="A25" s="18" t="s">
        <v>28</v>
      </c>
      <c r="B25" s="14"/>
      <c r="C25" s="29">
        <v>1500.0</v>
      </c>
      <c r="D25" s="23"/>
      <c r="E25" s="21">
        <f t="shared" si="3"/>
        <v>1500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ht="12.0" customHeight="1">
      <c r="A26" s="18" t="s">
        <v>29</v>
      </c>
      <c r="B26" s="14"/>
      <c r="C26" s="19">
        <v>2000.0</v>
      </c>
      <c r="D26" s="23"/>
      <c r="E26" s="21">
        <f t="shared" si="3"/>
        <v>2000</v>
      </c>
      <c r="F26" s="42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ht="12.0" customHeight="1">
      <c r="A27" s="43" t="s">
        <v>30</v>
      </c>
      <c r="B27" s="14"/>
      <c r="C27" s="31">
        <f>3000-800</f>
        <v>2200</v>
      </c>
      <c r="D27" s="30">
        <f>498.73+1548.35+135.99</f>
        <v>2183.07</v>
      </c>
      <c r="E27" s="21">
        <f t="shared" si="3"/>
        <v>16.93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>
      <c r="A28" s="41" t="s">
        <v>31</v>
      </c>
      <c r="B28" s="44"/>
      <c r="C28" s="45">
        <f>SUM(C23:C27)</f>
        <v>7400</v>
      </c>
      <c r="D28" s="46">
        <f>SUM(D21:D27)</f>
        <v>3362.83</v>
      </c>
      <c r="E28" s="47">
        <f t="shared" si="3"/>
        <v>4037.17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ht="14.25" customHeight="1">
      <c r="A29" s="18"/>
      <c r="B29" s="48"/>
      <c r="C29" s="22"/>
      <c r="D29" s="23"/>
      <c r="E29" s="21"/>
      <c r="F29" s="10" t="s">
        <v>23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ht="12.0" customHeight="1">
      <c r="A30" s="41" t="s">
        <v>32</v>
      </c>
      <c r="B30" s="48"/>
      <c r="C30" s="22"/>
      <c r="D30" s="23"/>
      <c r="E30" s="2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ht="12.0" customHeight="1">
      <c r="A31" s="18" t="s">
        <v>33</v>
      </c>
      <c r="B31" s="48"/>
      <c r="C31" s="22">
        <v>450.0</v>
      </c>
      <c r="D31" s="23"/>
      <c r="E31" s="21">
        <f t="shared" ref="E31:E37" si="4">C31-D31</f>
        <v>450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ht="12.0" customHeight="1">
      <c r="A32" s="18" t="s">
        <v>34</v>
      </c>
      <c r="B32" s="48"/>
      <c r="C32" s="22">
        <v>500.0</v>
      </c>
      <c r="D32" s="30">
        <v>100.0</v>
      </c>
      <c r="E32" s="21">
        <f t="shared" si="4"/>
        <v>400</v>
      </c>
      <c r="F32" s="49"/>
      <c r="G32" s="49"/>
      <c r="H32" s="10"/>
      <c r="I32" s="10"/>
      <c r="J32" s="10"/>
      <c r="K32" s="10"/>
      <c r="L32" s="10"/>
      <c r="M32" s="10"/>
      <c r="N32" s="10"/>
      <c r="O32" s="10"/>
      <c r="P32" s="10"/>
    </row>
    <row r="33" ht="12.0" customHeight="1">
      <c r="A33" s="18" t="s">
        <v>35</v>
      </c>
      <c r="B33" s="48"/>
      <c r="C33" s="19">
        <v>4500.0</v>
      </c>
      <c r="D33" s="23"/>
      <c r="E33" s="21">
        <f t="shared" si="4"/>
        <v>4500</v>
      </c>
      <c r="F33" s="50"/>
      <c r="G33" s="49"/>
      <c r="H33" s="10"/>
      <c r="I33" s="10"/>
      <c r="J33" s="10"/>
      <c r="K33" s="10"/>
      <c r="L33" s="10"/>
      <c r="M33" s="10"/>
      <c r="N33" s="10"/>
      <c r="O33" s="10"/>
      <c r="P33" s="10"/>
    </row>
    <row r="34" ht="12.0" customHeight="1">
      <c r="A34" s="18" t="s">
        <v>36</v>
      </c>
      <c r="B34" s="14"/>
      <c r="C34" s="22">
        <v>1500.0</v>
      </c>
      <c r="D34" s="30">
        <f>319.75+87.37+1685.14</f>
        <v>2092.26</v>
      </c>
      <c r="E34" s="21">
        <f t="shared" si="4"/>
        <v>-592.26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ht="12.0" customHeight="1">
      <c r="A35" s="18" t="s">
        <v>37</v>
      </c>
      <c r="B35" s="14"/>
      <c r="C35" s="19">
        <f>2500+800</f>
        <v>3300</v>
      </c>
      <c r="D35" s="51">
        <v>833.25</v>
      </c>
      <c r="E35" s="21">
        <f t="shared" si="4"/>
        <v>2466.75</v>
      </c>
      <c r="F35" s="42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ht="12.0" customHeight="1">
      <c r="A36" s="18" t="s">
        <v>38</v>
      </c>
      <c r="B36" s="14"/>
      <c r="C36" s="22">
        <v>450.0</v>
      </c>
      <c r="D36" s="23"/>
      <c r="E36" s="21">
        <f t="shared" si="4"/>
        <v>450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ht="12.0" customHeight="1">
      <c r="A37" s="41" t="s">
        <v>39</v>
      </c>
      <c r="B37" s="44"/>
      <c r="C37" s="45">
        <f t="shared" ref="C37:D37" si="5">SUM(C31:C36)</f>
        <v>10700</v>
      </c>
      <c r="D37" s="45">
        <f t="shared" si="5"/>
        <v>3025.51</v>
      </c>
      <c r="E37" s="47">
        <f t="shared" si="4"/>
        <v>7674.49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ht="7.5" customHeight="1">
      <c r="A38" s="18"/>
      <c r="B38" s="14"/>
      <c r="C38" s="22"/>
      <c r="D38" s="23"/>
      <c r="E38" s="2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ht="12.0" customHeight="1">
      <c r="A39" s="41" t="s">
        <v>40</v>
      </c>
      <c r="B39" s="14"/>
      <c r="C39" s="22"/>
      <c r="D39" s="23"/>
      <c r="E39" s="2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ht="12.0" customHeight="1">
      <c r="A40" s="52" t="s">
        <v>41</v>
      </c>
      <c r="B40" s="14"/>
      <c r="C40" s="22">
        <v>1000.0</v>
      </c>
      <c r="D40" s="30">
        <f>400</f>
        <v>400</v>
      </c>
      <c r="E40" s="21">
        <f t="shared" ref="E40:E47" si="6">C40-D40</f>
        <v>600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ht="12.0" customHeight="1">
      <c r="A41" s="28" t="s">
        <v>42</v>
      </c>
      <c r="B41" s="44"/>
      <c r="C41" s="53">
        <v>500.0</v>
      </c>
      <c r="D41" s="54">
        <f>78.45</f>
        <v>78.45</v>
      </c>
      <c r="E41" s="21">
        <f t="shared" si="6"/>
        <v>421.55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ht="12.0" customHeight="1">
      <c r="A42" s="41" t="s">
        <v>43</v>
      </c>
      <c r="B42" s="44"/>
      <c r="C42" s="45">
        <f t="shared" ref="C42:D42" si="7">C40+C41</f>
        <v>1500</v>
      </c>
      <c r="D42" s="45">
        <f t="shared" si="7"/>
        <v>478.45</v>
      </c>
      <c r="E42" s="55">
        <f t="shared" si="6"/>
        <v>1021.55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ht="6.75" customHeight="1">
      <c r="A43" s="18"/>
      <c r="B43" s="14"/>
      <c r="C43" s="22"/>
      <c r="D43" s="23"/>
      <c r="E43" s="21">
        <f t="shared" si="6"/>
        <v>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ht="12.0" customHeight="1">
      <c r="A44" s="41" t="s">
        <v>44</v>
      </c>
      <c r="B44" s="14"/>
      <c r="C44" s="22"/>
      <c r="D44" s="23"/>
      <c r="E44" s="21">
        <f t="shared" si="6"/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ht="12.0" customHeight="1">
      <c r="A45" s="18" t="s">
        <v>45</v>
      </c>
      <c r="B45" s="14"/>
      <c r="C45" s="22">
        <v>300.0</v>
      </c>
      <c r="D45" s="30"/>
      <c r="E45" s="21">
        <f t="shared" si="6"/>
        <v>300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ht="12.0" customHeight="1">
      <c r="A46" s="18" t="s">
        <v>46</v>
      </c>
      <c r="B46" s="14"/>
      <c r="C46" s="19">
        <v>2100.0</v>
      </c>
      <c r="D46" s="30">
        <f>519.57+222.5</f>
        <v>742.07</v>
      </c>
      <c r="E46" s="21">
        <f t="shared" si="6"/>
        <v>1357.93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ht="12.0" customHeight="1">
      <c r="A47" s="18" t="s">
        <v>47</v>
      </c>
      <c r="B47" s="14"/>
      <c r="C47" s="22">
        <v>2000.0</v>
      </c>
      <c r="D47" s="32">
        <f>292.5+1068.75+90</f>
        <v>1451.25</v>
      </c>
      <c r="E47" s="21">
        <f t="shared" si="6"/>
        <v>548.75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ht="12.0" customHeight="1">
      <c r="A48" s="41" t="s">
        <v>48</v>
      </c>
      <c r="B48" s="44"/>
      <c r="C48" s="45">
        <f>SUM(C45:C47)</f>
        <v>4400</v>
      </c>
      <c r="D48" s="46">
        <f>SUM(D44:D47)</f>
        <v>2193.32</v>
      </c>
      <c r="E48" s="55">
        <f>SUM(E45:E47)</f>
        <v>2206.68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ht="9.0" customHeight="1">
      <c r="A49" s="18"/>
      <c r="B49" s="18"/>
      <c r="C49" s="22"/>
      <c r="D49" s="23"/>
      <c r="E49" s="2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ht="12.0" customHeight="1">
      <c r="A50" s="41" t="s">
        <v>49</v>
      </c>
      <c r="B50" s="14"/>
      <c r="C50" s="22"/>
      <c r="D50" s="23"/>
      <c r="E50" s="21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ht="12.0" customHeight="1">
      <c r="A51" s="18" t="s">
        <v>50</v>
      </c>
      <c r="B51" s="14"/>
      <c r="C51" s="22">
        <v>325.0</v>
      </c>
      <c r="D51" s="32">
        <v>325.0</v>
      </c>
      <c r="E51" s="21">
        <f t="shared" ref="E51:E64" si="8">C51-D51</f>
        <v>0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ht="12.0" customHeight="1">
      <c r="A52" s="18" t="s">
        <v>51</v>
      </c>
      <c r="B52" s="14"/>
      <c r="C52" s="22">
        <v>60.0</v>
      </c>
      <c r="D52" s="23"/>
      <c r="E52" s="21">
        <f t="shared" si="8"/>
        <v>60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ht="12.0" customHeight="1">
      <c r="A53" s="18" t="s">
        <v>52</v>
      </c>
      <c r="B53" s="14"/>
      <c r="C53" s="19">
        <v>100.0</v>
      </c>
      <c r="D53" s="30">
        <v>35.0</v>
      </c>
      <c r="E53" s="21">
        <f t="shared" si="8"/>
        <v>65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ht="12.0" customHeight="1">
      <c r="A54" s="18" t="s">
        <v>53</v>
      </c>
      <c r="B54" s="14"/>
      <c r="C54" s="19">
        <f>925+20</f>
        <v>945</v>
      </c>
      <c r="D54" s="32">
        <f>119.46+612.17+107.13+91.36+9.07</f>
        <v>939.19</v>
      </c>
      <c r="E54" s="21">
        <f t="shared" si="8"/>
        <v>5.81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ht="12.0" customHeight="1">
      <c r="A55" s="18" t="s">
        <v>54</v>
      </c>
      <c r="B55" s="14"/>
      <c r="C55" s="22">
        <v>150.0</v>
      </c>
      <c r="D55" s="30">
        <v>150.0</v>
      </c>
      <c r="E55" s="21">
        <f t="shared" si="8"/>
        <v>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ht="12.0" customHeight="1">
      <c r="A56" s="18" t="s">
        <v>55</v>
      </c>
      <c r="B56" s="14"/>
      <c r="C56" s="22">
        <v>125.0</v>
      </c>
      <c r="D56" s="30">
        <v>125.0</v>
      </c>
      <c r="E56" s="21">
        <f t="shared" si="8"/>
        <v>0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ht="12.0" customHeight="1">
      <c r="A57" s="18" t="s">
        <v>56</v>
      </c>
      <c r="B57" s="14"/>
      <c r="C57" s="22">
        <v>215.0</v>
      </c>
      <c r="D57" s="30">
        <v>215.0</v>
      </c>
      <c r="E57" s="21">
        <f t="shared" si="8"/>
        <v>0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ht="12.0" customHeight="1">
      <c r="A58" s="18" t="s">
        <v>57</v>
      </c>
      <c r="B58" s="14"/>
      <c r="C58" s="31">
        <v>900.0</v>
      </c>
      <c r="D58" s="23"/>
      <c r="E58" s="21">
        <f t="shared" si="8"/>
        <v>900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ht="12.0" customHeight="1">
      <c r="A59" s="18" t="s">
        <v>58</v>
      </c>
      <c r="B59" s="44"/>
      <c r="C59" s="22">
        <v>200.0</v>
      </c>
      <c r="D59" s="32">
        <v>138.23</v>
      </c>
      <c r="E59" s="21">
        <f t="shared" si="8"/>
        <v>61.77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ht="12.0" customHeight="1">
      <c r="A60" s="18" t="s">
        <v>59</v>
      </c>
      <c r="B60" s="14"/>
      <c r="C60" s="22">
        <v>50.0</v>
      </c>
      <c r="D60" s="23"/>
      <c r="E60" s="21">
        <f t="shared" si="8"/>
        <v>50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ht="12.0" customHeight="1">
      <c r="A61" s="18" t="s">
        <v>60</v>
      </c>
      <c r="B61" s="14"/>
      <c r="C61" s="31">
        <v>320.0</v>
      </c>
      <c r="D61" s="30">
        <v>320.0</v>
      </c>
      <c r="E61" s="21">
        <f t="shared" si="8"/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1.25" customHeight="1">
      <c r="A62" s="18" t="s">
        <v>61</v>
      </c>
      <c r="B62" s="48"/>
      <c r="C62" s="19">
        <v>144.0</v>
      </c>
      <c r="D62" s="56"/>
      <c r="E62" s="21">
        <f t="shared" si="8"/>
        <v>144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ht="12.0" customHeight="1">
      <c r="A63" s="18" t="s">
        <v>62</v>
      </c>
      <c r="B63" s="14"/>
      <c r="C63" s="22">
        <v>120.0</v>
      </c>
      <c r="D63" s="23"/>
      <c r="E63" s="21">
        <f t="shared" si="8"/>
        <v>120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ht="12.0" customHeight="1">
      <c r="A64" s="18" t="s">
        <v>63</v>
      </c>
      <c r="B64" s="10"/>
      <c r="C64" s="22">
        <v>120.0</v>
      </c>
      <c r="D64" s="23"/>
      <c r="E64" s="21">
        <f t="shared" si="8"/>
        <v>120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ht="12.0" customHeight="1">
      <c r="A65" s="41" t="s">
        <v>64</v>
      </c>
      <c r="B65" s="44"/>
      <c r="C65" s="45">
        <f t="shared" ref="C65:E65" si="9">SUM(C51:C64)</f>
        <v>3774</v>
      </c>
      <c r="D65" s="46">
        <f t="shared" si="9"/>
        <v>2247.42</v>
      </c>
      <c r="E65" s="55">
        <f t="shared" si="9"/>
        <v>1526.58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ht="9.0" customHeight="1">
      <c r="A66" s="41"/>
      <c r="B66" s="14"/>
      <c r="C66" s="22"/>
      <c r="D66" s="23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ht="12.0" customHeight="1">
      <c r="A67" s="41" t="s">
        <v>65</v>
      </c>
      <c r="B67" s="14"/>
      <c r="C67" s="19"/>
      <c r="D67" s="56"/>
      <c r="E67" s="21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ht="12.0" customHeight="1">
      <c r="A68" s="28" t="s">
        <v>66</v>
      </c>
      <c r="B68" s="14"/>
      <c r="C68" s="19">
        <v>250.0</v>
      </c>
      <c r="D68" s="32">
        <v>101.5</v>
      </c>
      <c r="E68" s="21">
        <f t="shared" ref="E68:E76" si="10">C68-D68</f>
        <v>148.5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ht="12.0" customHeight="1">
      <c r="A69" s="18" t="s">
        <v>67</v>
      </c>
      <c r="B69" s="14"/>
      <c r="C69" s="22">
        <v>250.0</v>
      </c>
      <c r="D69" s="23"/>
      <c r="E69" s="21">
        <f t="shared" si="10"/>
        <v>250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ht="12.0" customHeight="1">
      <c r="A70" s="18" t="s">
        <v>68</v>
      </c>
      <c r="B70" s="14"/>
      <c r="C70" s="22">
        <f>200-20</f>
        <v>180</v>
      </c>
      <c r="D70" s="30">
        <v>180.0</v>
      </c>
      <c r="E70" s="21">
        <f t="shared" si="10"/>
        <v>0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ht="12.0" customHeight="1">
      <c r="A71" s="18" t="s">
        <v>69</v>
      </c>
      <c r="B71" s="14"/>
      <c r="C71" s="22">
        <v>2000.0</v>
      </c>
      <c r="D71" s="57">
        <v>1895.35</v>
      </c>
      <c r="E71" s="21">
        <f t="shared" si="10"/>
        <v>104.65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ht="12.0" customHeight="1">
      <c r="A72" s="18" t="s">
        <v>70</v>
      </c>
      <c r="B72" s="14"/>
      <c r="C72" s="22">
        <v>2500.0</v>
      </c>
      <c r="D72" s="23"/>
      <c r="E72" s="21">
        <f t="shared" si="10"/>
        <v>2500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ht="12.0" customHeight="1">
      <c r="A73" s="18" t="s">
        <v>71</v>
      </c>
      <c r="B73" s="14"/>
      <c r="C73" s="19">
        <v>3500.0</v>
      </c>
      <c r="D73" s="23"/>
      <c r="E73" s="21">
        <f t="shared" si="10"/>
        <v>3500</v>
      </c>
      <c r="F73" s="49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ht="12.0" customHeight="1">
      <c r="A74" s="18" t="s">
        <v>72</v>
      </c>
      <c r="B74" s="14"/>
      <c r="C74" s="19">
        <v>4500.0</v>
      </c>
      <c r="D74" s="23"/>
      <c r="E74" s="21">
        <f t="shared" si="10"/>
        <v>4500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ht="12.0" customHeight="1">
      <c r="A75" s="28" t="s">
        <v>73</v>
      </c>
      <c r="B75" s="14"/>
      <c r="C75" s="58">
        <v>2000.0</v>
      </c>
      <c r="D75" s="59"/>
      <c r="E75" s="21">
        <f t="shared" si="10"/>
        <v>2000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ht="12.0" customHeight="1">
      <c r="A76" s="41" t="s">
        <v>74</v>
      </c>
      <c r="B76" s="44"/>
      <c r="C76" s="45">
        <f>SUM(C67:C75)</f>
        <v>15180</v>
      </c>
      <c r="D76" s="46">
        <f>SUM(D67:D74)</f>
        <v>2176.85</v>
      </c>
      <c r="E76" s="47">
        <f t="shared" si="10"/>
        <v>13003.15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ht="9.0" customHeight="1">
      <c r="A77" s="18"/>
      <c r="B77" s="44"/>
      <c r="C77" s="60"/>
      <c r="D77" s="61"/>
      <c r="E77" s="62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ht="12.0" customHeight="1">
      <c r="A78" s="63" t="s">
        <v>75</v>
      </c>
      <c r="B78" s="44"/>
      <c r="C78" s="60"/>
      <c r="D78" s="61"/>
      <c r="E78" s="62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ht="12.0" customHeight="1">
      <c r="A79" s="18" t="s">
        <v>76</v>
      </c>
      <c r="B79" s="44"/>
      <c r="C79" s="22">
        <v>200.0</v>
      </c>
      <c r="D79" s="23"/>
      <c r="E79" s="21">
        <f t="shared" ref="E79:E82" si="11">C79-D79</f>
        <v>200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ht="12.0" customHeight="1">
      <c r="A80" s="18" t="s">
        <v>77</v>
      </c>
      <c r="B80" s="44"/>
      <c r="C80" s="22">
        <v>500.0</v>
      </c>
      <c r="D80" s="23"/>
      <c r="E80" s="21">
        <f t="shared" si="11"/>
        <v>500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ht="12.0" customHeight="1">
      <c r="A81" s="18" t="s">
        <v>78</v>
      </c>
      <c r="B81" s="44"/>
      <c r="C81" s="22">
        <v>1000.0</v>
      </c>
      <c r="D81" s="56"/>
      <c r="E81" s="21">
        <f t="shared" si="11"/>
        <v>1000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ht="12.0" customHeight="1">
      <c r="A82" s="63" t="s">
        <v>79</v>
      </c>
      <c r="B82" s="44"/>
      <c r="C82" s="64">
        <f t="shared" ref="C82:D82" si="12">SUM(C79:C81)</f>
        <v>1700</v>
      </c>
      <c r="D82" s="64">
        <f t="shared" si="12"/>
        <v>0</v>
      </c>
      <c r="E82" s="65">
        <f t="shared" si="11"/>
        <v>1700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ht="12.0" customHeight="1">
      <c r="A83" s="40" t="s">
        <v>80</v>
      </c>
      <c r="B83" s="36"/>
      <c r="C83" s="66">
        <f t="shared" ref="C83:E83" si="13">C82+C76+C65+C48+C42+C37+C28</f>
        <v>44654</v>
      </c>
      <c r="D83" s="66">
        <f t="shared" si="13"/>
        <v>13484.38</v>
      </c>
      <c r="E83" s="67">
        <f t="shared" si="13"/>
        <v>31169.62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ht="14.25" customHeight="1">
      <c r="B84" s="68"/>
      <c r="C84" s="69"/>
      <c r="D84" s="68"/>
      <c r="E84" s="7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ht="14.25" customHeight="1">
      <c r="A85" s="71" t="s">
        <v>81</v>
      </c>
      <c r="B85" s="72"/>
      <c r="C85" s="73">
        <f t="shared" ref="C85:D85" si="14">C20-C83</f>
        <v>841.15</v>
      </c>
      <c r="D85" s="73">
        <f t="shared" si="14"/>
        <v>17643.97</v>
      </c>
      <c r="E85" s="7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ht="12.0" customHeight="1">
      <c r="A86" s="74" t="s">
        <v>82</v>
      </c>
      <c r="B86" s="75"/>
      <c r="C86" s="76">
        <v>3000.0</v>
      </c>
      <c r="D86" s="52"/>
      <c r="E86" s="52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ht="12.0" customHeight="1">
      <c r="A87" s="49"/>
      <c r="B87" s="49"/>
      <c r="C87" s="77"/>
      <c r="D87" s="70"/>
      <c r="E87" s="7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ht="12.0" customHeight="1">
      <c r="A88" s="49"/>
      <c r="B88" s="49"/>
      <c r="C88" s="77"/>
      <c r="D88" s="70"/>
      <c r="E88" s="7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ht="12.0" customHeight="1">
      <c r="A89" s="49"/>
      <c r="B89" s="49"/>
      <c r="C89" s="77"/>
      <c r="D89" s="70"/>
      <c r="E89" s="7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ht="12.0" customHeight="1">
      <c r="A90" s="49"/>
      <c r="B90" s="49"/>
      <c r="C90" s="3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ht="12.0" customHeight="1">
      <c r="A91" s="49"/>
      <c r="B91" s="49"/>
      <c r="C91" s="3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ht="12.0" customHeight="1">
      <c r="A92" s="49"/>
      <c r="B92" s="49"/>
      <c r="C92" s="3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ht="12.0" customHeight="1">
      <c r="A93" s="49"/>
      <c r="B93" s="49"/>
      <c r="C93" s="3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ht="12.0" customHeight="1">
      <c r="A94" s="49"/>
      <c r="B94" s="49"/>
      <c r="C94" s="3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ht="12.0" customHeight="1">
      <c r="A95" s="49"/>
      <c r="B95" s="49"/>
      <c r="C95" s="3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ht="12.0" customHeight="1">
      <c r="A96" s="49"/>
      <c r="B96" s="49"/>
      <c r="C96" s="3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ht="12.0" hidden="1" customHeight="1">
      <c r="A97" s="49" t="s">
        <v>83</v>
      </c>
      <c r="B97" s="49"/>
      <c r="C97" s="3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ht="12.0" customHeight="1">
      <c r="A98" s="49"/>
      <c r="B98" s="49"/>
      <c r="C98" s="33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ht="12.0" customHeight="1">
      <c r="A99" s="49"/>
      <c r="B99" s="49"/>
      <c r="C99" s="3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ht="12.0" customHeight="1">
      <c r="A100" s="49"/>
      <c r="B100" s="49"/>
      <c r="C100" s="33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ht="12.0" customHeight="1">
      <c r="A101" s="49"/>
      <c r="B101" s="49"/>
      <c r="C101" s="3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ht="12.0" customHeight="1">
      <c r="A102" s="49"/>
      <c r="B102" s="49"/>
      <c r="C102" s="33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ht="12.0" customHeight="1">
      <c r="A103" s="49"/>
      <c r="B103" s="49"/>
      <c r="C103" s="3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ht="12.0" customHeight="1">
      <c r="A104" s="49"/>
      <c r="B104" s="49"/>
      <c r="C104" s="33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ht="12.0" customHeight="1">
      <c r="A105" s="49"/>
      <c r="B105" s="49"/>
      <c r="C105" s="33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ht="12.0" customHeight="1">
      <c r="A106" s="49"/>
      <c r="B106" s="49"/>
      <c r="C106" s="33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ht="12.0" customHeight="1">
      <c r="A107" s="49"/>
      <c r="B107" s="49"/>
      <c r="C107" s="33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ht="12.0" customHeight="1">
      <c r="A108" s="49"/>
      <c r="B108" s="49"/>
      <c r="C108" s="33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ht="12.0" customHeight="1">
      <c r="A109" s="49"/>
      <c r="B109" s="49"/>
      <c r="C109" s="33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ht="12.0" customHeight="1">
      <c r="A110" s="49"/>
      <c r="B110" s="49"/>
      <c r="C110" s="33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ht="12.0" customHeight="1">
      <c r="A111" s="49"/>
      <c r="B111" s="49"/>
      <c r="C111" s="33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ht="12.0" customHeight="1">
      <c r="A112" s="49"/>
      <c r="B112" s="49"/>
      <c r="C112" s="33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ht="12.0" customHeight="1">
      <c r="A113" s="49"/>
      <c r="B113" s="49"/>
      <c r="C113" s="3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ht="12.0" customHeight="1">
      <c r="A114" s="49"/>
      <c r="B114" s="49"/>
      <c r="C114" s="33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ht="12.0" customHeight="1">
      <c r="A115" s="49"/>
      <c r="B115" s="49"/>
      <c r="C115" s="33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ht="12.0" customHeight="1">
      <c r="A116" s="49"/>
      <c r="B116" s="49"/>
      <c r="C116" s="33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ht="12.0" customHeight="1">
      <c r="A117" s="49"/>
      <c r="B117" s="49"/>
      <c r="C117" s="33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ht="12.0" customHeight="1">
      <c r="A118" s="49"/>
      <c r="B118" s="49"/>
      <c r="C118" s="33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ht="12.0" customHeight="1">
      <c r="A119" s="49"/>
      <c r="B119" s="49"/>
      <c r="C119" s="33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ht="12.0" customHeight="1">
      <c r="A120" s="49"/>
      <c r="B120" s="49"/>
      <c r="C120" s="33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ht="12.0" customHeight="1">
      <c r="A121" s="49"/>
      <c r="B121" s="49"/>
      <c r="C121" s="33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ht="12.0" customHeight="1">
      <c r="A122" s="49"/>
      <c r="B122" s="49"/>
      <c r="C122" s="33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ht="12.0" customHeight="1">
      <c r="A123" s="49"/>
      <c r="B123" s="49"/>
      <c r="C123" s="33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ht="12.0" customHeight="1">
      <c r="A124" s="49"/>
      <c r="B124" s="49"/>
      <c r="C124" s="33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ht="12.0" customHeight="1">
      <c r="A125" s="49"/>
      <c r="B125" s="49"/>
      <c r="C125" s="33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ht="12.0" customHeight="1">
      <c r="A126" s="49"/>
      <c r="B126" s="49"/>
      <c r="C126" s="33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ht="12.0" customHeight="1">
      <c r="A127" s="49"/>
      <c r="B127" s="49"/>
      <c r="C127" s="33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ht="12.0" customHeight="1">
      <c r="A128" s="49"/>
      <c r="B128" s="49"/>
      <c r="C128" s="33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ht="12.0" customHeight="1">
      <c r="A129" s="49"/>
      <c r="B129" s="49"/>
      <c r="C129" s="33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ht="12.0" customHeight="1">
      <c r="A130" s="10"/>
      <c r="B130" s="10"/>
      <c r="C130" s="78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ht="12.0" customHeight="1">
      <c r="A131" s="10"/>
      <c r="B131" s="10"/>
      <c r="C131" s="78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ht="12.0" customHeight="1">
      <c r="A132" s="10"/>
      <c r="B132" s="10"/>
      <c r="C132" s="7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ht="12.0" customHeight="1">
      <c r="A133" s="10"/>
      <c r="B133" s="10"/>
      <c r="C133" s="78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ht="12.0" customHeight="1">
      <c r="A134" s="10"/>
      <c r="B134" s="10"/>
      <c r="C134" s="78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ht="12.0" customHeight="1">
      <c r="A135" s="10"/>
      <c r="B135" s="10"/>
      <c r="C135" s="78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ht="12.0" customHeight="1">
      <c r="A136" s="10"/>
      <c r="B136" s="10"/>
      <c r="C136" s="78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ht="12.0" customHeight="1">
      <c r="A137" s="10"/>
      <c r="B137" s="10"/>
      <c r="C137" s="78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ht="12.0" customHeight="1">
      <c r="A138" s="10"/>
      <c r="B138" s="10"/>
      <c r="C138" s="78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ht="12.0" customHeight="1">
      <c r="A139" s="10"/>
      <c r="B139" s="10"/>
      <c r="C139" s="78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ht="12.0" customHeight="1">
      <c r="A140" s="10"/>
      <c r="B140" s="10"/>
      <c r="C140" s="78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ht="12.0" customHeight="1">
      <c r="A141" s="10"/>
      <c r="B141" s="10"/>
      <c r="C141" s="78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ht="12.0" customHeight="1">
      <c r="A142" s="10"/>
      <c r="B142" s="10"/>
      <c r="C142" s="78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ht="12.0" customHeight="1">
      <c r="A143" s="10"/>
      <c r="B143" s="10"/>
      <c r="C143" s="7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ht="12.0" customHeight="1">
      <c r="A144" s="10"/>
      <c r="B144" s="10"/>
      <c r="C144" s="78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ht="12.0" customHeight="1">
      <c r="A145" s="10"/>
      <c r="B145" s="10"/>
      <c r="C145" s="78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ht="12.0" customHeight="1">
      <c r="A146" s="10"/>
      <c r="B146" s="10"/>
      <c r="C146" s="78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ht="12.0" customHeight="1">
      <c r="A147" s="10"/>
      <c r="B147" s="10"/>
      <c r="C147" s="78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ht="12.0" customHeight="1">
      <c r="A148" s="10"/>
      <c r="B148" s="10"/>
      <c r="C148" s="78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ht="12.0" customHeight="1">
      <c r="A149" s="10"/>
      <c r="B149" s="10"/>
      <c r="C149" s="78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ht="12.0" customHeight="1">
      <c r="A150" s="10"/>
      <c r="B150" s="10"/>
      <c r="C150" s="7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ht="12.0" customHeight="1">
      <c r="A151" s="10"/>
      <c r="B151" s="10"/>
      <c r="C151" s="7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ht="12.0" customHeight="1">
      <c r="A152" s="10"/>
      <c r="B152" s="10"/>
      <c r="C152" s="78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ht="12.0" customHeight="1">
      <c r="A153" s="10"/>
      <c r="B153" s="10"/>
      <c r="C153" s="78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ht="12.0" customHeight="1">
      <c r="A154" s="10"/>
      <c r="B154" s="10"/>
      <c r="C154" s="7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ht="12.0" customHeight="1">
      <c r="A155" s="10"/>
      <c r="B155" s="10"/>
      <c r="C155" s="78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ht="12.0" customHeight="1">
      <c r="A156" s="10"/>
      <c r="B156" s="10"/>
      <c r="C156" s="78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ht="12.0" customHeight="1">
      <c r="A157" s="10"/>
      <c r="B157" s="10"/>
      <c r="C157" s="78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ht="12.0" customHeight="1">
      <c r="A158" s="10"/>
      <c r="B158" s="10"/>
      <c r="C158" s="78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ht="12.0" customHeight="1">
      <c r="A159" s="10"/>
      <c r="B159" s="10"/>
      <c r="C159" s="78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ht="12.0" customHeight="1">
      <c r="A160" s="10"/>
      <c r="B160" s="10"/>
      <c r="C160" s="78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ht="12.0" customHeight="1">
      <c r="A161" s="10"/>
      <c r="B161" s="10"/>
      <c r="C161" s="78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ht="12.0" customHeight="1">
      <c r="A162" s="10"/>
      <c r="B162" s="10"/>
      <c r="C162" s="78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ht="12.0" customHeight="1">
      <c r="A163" s="10"/>
      <c r="B163" s="10"/>
      <c r="C163" s="78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ht="12.0" customHeight="1">
      <c r="A164" s="10"/>
      <c r="B164" s="10"/>
      <c r="C164" s="78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ht="12.0" customHeight="1">
      <c r="A165" s="10"/>
      <c r="B165" s="10"/>
      <c r="C165" s="78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ht="12.0" customHeight="1">
      <c r="A166" s="10"/>
      <c r="B166" s="10"/>
      <c r="C166" s="78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ht="12.0" customHeight="1">
      <c r="A167" s="10"/>
      <c r="B167" s="10"/>
      <c r="C167" s="78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ht="12.0" customHeight="1">
      <c r="A168" s="10"/>
      <c r="B168" s="10"/>
      <c r="C168" s="78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ht="12.0" customHeight="1">
      <c r="A169" s="10"/>
      <c r="B169" s="10"/>
      <c r="C169" s="78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ht="12.0" customHeight="1">
      <c r="A170" s="10"/>
      <c r="B170" s="10"/>
      <c r="C170" s="78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ht="12.0" customHeight="1">
      <c r="A171" s="10"/>
      <c r="B171" s="10"/>
      <c r="C171" s="78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ht="12.0" customHeight="1">
      <c r="A172" s="10"/>
      <c r="B172" s="10"/>
      <c r="C172" s="78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ht="12.0" customHeight="1">
      <c r="A173" s="10"/>
      <c r="B173" s="10"/>
      <c r="C173" s="78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ht="12.0" customHeight="1">
      <c r="A174" s="10"/>
      <c r="B174" s="10"/>
      <c r="C174" s="78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ht="12.0" customHeight="1">
      <c r="A175" s="10"/>
      <c r="B175" s="10"/>
      <c r="C175" s="78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ht="12.0" customHeight="1">
      <c r="A176" s="10"/>
      <c r="B176" s="10"/>
      <c r="C176" s="78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ht="12.0" customHeight="1">
      <c r="A177" s="10"/>
      <c r="B177" s="10"/>
      <c r="C177" s="78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ht="12.0" customHeight="1">
      <c r="A178" s="10"/>
      <c r="B178" s="10"/>
      <c r="C178" s="78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ht="12.0" customHeight="1">
      <c r="A179" s="10"/>
      <c r="B179" s="10"/>
      <c r="C179" s="78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ht="12.0" customHeight="1">
      <c r="A180" s="10"/>
      <c r="B180" s="10"/>
      <c r="C180" s="78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ht="12.0" customHeight="1">
      <c r="A181" s="10"/>
      <c r="B181" s="10"/>
      <c r="C181" s="78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ht="12.0" customHeight="1">
      <c r="A182" s="10"/>
      <c r="B182" s="10"/>
      <c r="C182" s="78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ht="12.0" customHeight="1">
      <c r="A183" s="10"/>
      <c r="B183" s="10"/>
      <c r="C183" s="78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ht="12.0" customHeight="1">
      <c r="A184" s="10"/>
      <c r="B184" s="10"/>
      <c r="C184" s="78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ht="12.0" customHeight="1">
      <c r="A185" s="10"/>
      <c r="B185" s="10"/>
      <c r="C185" s="78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ht="12.0" customHeight="1">
      <c r="A186" s="10"/>
      <c r="B186" s="10"/>
      <c r="C186" s="7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ht="12.0" customHeight="1">
      <c r="A187" s="10"/>
      <c r="B187" s="10"/>
      <c r="C187" s="78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ht="12.0" customHeight="1">
      <c r="A188" s="10"/>
      <c r="B188" s="10"/>
      <c r="C188" s="78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ht="12.0" customHeight="1">
      <c r="A189" s="10"/>
      <c r="B189" s="10"/>
      <c r="C189" s="78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ht="12.0" customHeight="1">
      <c r="A190" s="10"/>
      <c r="B190" s="10"/>
      <c r="C190" s="78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ht="12.0" customHeight="1">
      <c r="A191" s="10"/>
      <c r="B191" s="10"/>
      <c r="C191" s="78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ht="12.0" customHeight="1">
      <c r="A192" s="10"/>
      <c r="B192" s="10"/>
      <c r="C192" s="78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ht="12.0" customHeight="1">
      <c r="A193" s="10"/>
      <c r="B193" s="10"/>
      <c r="C193" s="7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ht="12.0" customHeight="1">
      <c r="A194" s="10"/>
      <c r="B194" s="10"/>
      <c r="C194" s="78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ht="12.0" customHeight="1">
      <c r="A195" s="10"/>
      <c r="B195" s="10"/>
      <c r="C195" s="78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ht="12.0" customHeight="1">
      <c r="A196" s="10"/>
      <c r="B196" s="10"/>
      <c r="C196" s="78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ht="12.0" customHeight="1">
      <c r="A197" s="10"/>
      <c r="B197" s="10"/>
      <c r="C197" s="78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ht="12.0" customHeight="1">
      <c r="A198" s="10"/>
      <c r="B198" s="10"/>
      <c r="C198" s="78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ht="12.0" customHeight="1">
      <c r="A199" s="10"/>
      <c r="B199" s="10"/>
      <c r="C199" s="78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ht="12.0" customHeight="1">
      <c r="A200" s="10"/>
      <c r="B200" s="10"/>
      <c r="C200" s="78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ht="12.0" customHeight="1">
      <c r="A201" s="10"/>
      <c r="B201" s="10"/>
      <c r="C201" s="78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ht="12.0" customHeight="1">
      <c r="A202" s="10"/>
      <c r="B202" s="10"/>
      <c r="C202" s="7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ht="12.0" customHeight="1">
      <c r="A203" s="10"/>
      <c r="B203" s="10"/>
      <c r="C203" s="7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ht="12.0" customHeight="1">
      <c r="A204" s="10"/>
      <c r="B204" s="10"/>
      <c r="C204" s="78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ht="12.0" customHeight="1">
      <c r="A205" s="10"/>
      <c r="B205" s="10"/>
      <c r="C205" s="7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ht="12.0" customHeight="1">
      <c r="A206" s="10"/>
      <c r="B206" s="10"/>
      <c r="C206" s="78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ht="12.0" customHeight="1">
      <c r="A207" s="10"/>
      <c r="B207" s="10"/>
      <c r="C207" s="78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ht="12.0" customHeight="1">
      <c r="A208" s="10"/>
      <c r="B208" s="10"/>
      <c r="C208" s="78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ht="12.0" customHeight="1">
      <c r="A209" s="10"/>
      <c r="B209" s="10"/>
      <c r="C209" s="7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ht="12.0" customHeight="1">
      <c r="A210" s="10"/>
      <c r="B210" s="10"/>
      <c r="C210" s="78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ht="12.0" customHeight="1">
      <c r="A211" s="10"/>
      <c r="B211" s="10"/>
      <c r="C211" s="78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ht="12.0" customHeight="1">
      <c r="A212" s="10"/>
      <c r="B212" s="10"/>
      <c r="C212" s="78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ht="12.0" customHeight="1">
      <c r="A213" s="10"/>
      <c r="B213" s="10"/>
      <c r="C213" s="78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ht="12.0" customHeight="1">
      <c r="A214" s="10"/>
      <c r="B214" s="10"/>
      <c r="C214" s="7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ht="12.0" customHeight="1">
      <c r="A215" s="10"/>
      <c r="B215" s="10"/>
      <c r="C215" s="7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ht="12.0" customHeight="1">
      <c r="A216" s="10"/>
      <c r="B216" s="10"/>
      <c r="C216" s="78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ht="12.0" customHeight="1">
      <c r="A217" s="10"/>
      <c r="B217" s="10"/>
      <c r="C217" s="7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ht="12.0" customHeight="1">
      <c r="A218" s="10"/>
      <c r="B218" s="10"/>
      <c r="C218" s="78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ht="12.0" customHeight="1">
      <c r="A219" s="10"/>
      <c r="B219" s="10"/>
      <c r="C219" s="78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ht="12.0" customHeight="1">
      <c r="A220" s="10"/>
      <c r="B220" s="10"/>
      <c r="C220" s="78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ht="12.0" customHeight="1">
      <c r="A221" s="10"/>
      <c r="B221" s="10"/>
      <c r="C221" s="7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ht="12.0" customHeight="1">
      <c r="A222" s="10"/>
      <c r="B222" s="10"/>
      <c r="C222" s="78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ht="12.0" customHeight="1">
      <c r="A223" s="10"/>
      <c r="B223" s="10"/>
      <c r="C223" s="78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ht="12.0" customHeight="1">
      <c r="A224" s="10"/>
      <c r="B224" s="10"/>
      <c r="C224" s="78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ht="12.0" customHeight="1">
      <c r="A225" s="10"/>
      <c r="B225" s="10"/>
      <c r="C225" s="78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ht="12.0" customHeight="1">
      <c r="A226" s="10"/>
      <c r="B226" s="10"/>
      <c r="C226" s="78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ht="12.0" customHeight="1">
      <c r="A227" s="10"/>
      <c r="B227" s="10"/>
      <c r="C227" s="78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ht="12.0" customHeight="1">
      <c r="A228" s="10"/>
      <c r="B228" s="10"/>
      <c r="C228" s="78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ht="12.0" customHeight="1">
      <c r="A229" s="10"/>
      <c r="B229" s="10"/>
      <c r="C229" s="78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ht="12.0" customHeight="1">
      <c r="A230" s="10"/>
      <c r="B230" s="10"/>
      <c r="C230" s="78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ht="12.0" customHeight="1">
      <c r="A231" s="10"/>
      <c r="B231" s="10"/>
      <c r="C231" s="78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ht="12.0" customHeight="1">
      <c r="A232" s="10"/>
      <c r="B232" s="10"/>
      <c r="C232" s="7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ht="12.0" customHeight="1">
      <c r="A233" s="10"/>
      <c r="B233" s="10"/>
      <c r="C233" s="7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ht="12.0" customHeight="1">
      <c r="A234" s="10"/>
      <c r="B234" s="10"/>
      <c r="C234" s="78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ht="12.0" customHeight="1">
      <c r="A235" s="10"/>
      <c r="B235" s="10"/>
      <c r="C235" s="78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ht="12.0" customHeight="1">
      <c r="A236" s="10"/>
      <c r="B236" s="10"/>
      <c r="C236" s="78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ht="12.0" customHeight="1">
      <c r="A237" s="10"/>
      <c r="B237" s="10"/>
      <c r="C237" s="78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ht="12.0" customHeight="1">
      <c r="A238" s="10"/>
      <c r="B238" s="10"/>
      <c r="C238" s="7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ht="12.0" customHeight="1">
      <c r="A239" s="10"/>
      <c r="B239" s="10"/>
      <c r="C239" s="78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ht="12.0" customHeight="1">
      <c r="A240" s="10"/>
      <c r="B240" s="10"/>
      <c r="C240" s="78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ht="12.0" customHeight="1">
      <c r="A241" s="10"/>
      <c r="B241" s="10"/>
      <c r="C241" s="78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ht="12.0" customHeight="1">
      <c r="A242" s="10"/>
      <c r="B242" s="10"/>
      <c r="C242" s="78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ht="12.0" customHeight="1">
      <c r="A243" s="10"/>
      <c r="B243" s="10"/>
      <c r="C243" s="78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ht="12.0" customHeight="1">
      <c r="A244" s="10"/>
      <c r="B244" s="10"/>
      <c r="C244" s="78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ht="12.0" customHeight="1">
      <c r="A245" s="10"/>
      <c r="B245" s="10"/>
      <c r="C245" s="78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ht="12.0" customHeight="1">
      <c r="A246" s="10"/>
      <c r="B246" s="10"/>
      <c r="C246" s="78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ht="12.0" customHeight="1">
      <c r="A247" s="10"/>
      <c r="B247" s="10"/>
      <c r="C247" s="78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ht="12.0" customHeight="1">
      <c r="A248" s="10"/>
      <c r="B248" s="10"/>
      <c r="C248" s="78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ht="12.0" customHeight="1">
      <c r="A249" s="10"/>
      <c r="B249" s="10"/>
      <c r="C249" s="78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ht="12.0" customHeight="1">
      <c r="A250" s="10"/>
      <c r="B250" s="10"/>
      <c r="C250" s="78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ht="12.0" customHeight="1">
      <c r="A251" s="10"/>
      <c r="B251" s="10"/>
      <c r="C251" s="78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ht="12.0" customHeight="1">
      <c r="A252" s="10"/>
      <c r="B252" s="10"/>
      <c r="C252" s="78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ht="12.0" customHeight="1">
      <c r="A253" s="10"/>
      <c r="B253" s="10"/>
      <c r="C253" s="78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ht="12.0" customHeight="1">
      <c r="A254" s="10"/>
      <c r="B254" s="10"/>
      <c r="C254" s="78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ht="12.0" customHeight="1">
      <c r="A255" s="10"/>
      <c r="B255" s="10"/>
      <c r="C255" s="78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ht="12.0" customHeight="1">
      <c r="A256" s="10"/>
      <c r="B256" s="10"/>
      <c r="C256" s="78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ht="12.0" customHeight="1">
      <c r="A257" s="10"/>
      <c r="B257" s="10"/>
      <c r="C257" s="78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ht="12.0" customHeight="1">
      <c r="A258" s="10"/>
      <c r="B258" s="10"/>
      <c r="C258" s="78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ht="12.0" customHeight="1">
      <c r="A259" s="10"/>
      <c r="B259" s="10"/>
      <c r="C259" s="78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ht="12.0" customHeight="1">
      <c r="A260" s="10"/>
      <c r="B260" s="10"/>
      <c r="C260" s="78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ht="12.0" customHeight="1">
      <c r="A261" s="10"/>
      <c r="B261" s="10"/>
      <c r="C261" s="78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ht="12.0" customHeight="1">
      <c r="A262" s="10"/>
      <c r="B262" s="10"/>
      <c r="C262" s="78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ht="12.0" customHeight="1">
      <c r="A263" s="10"/>
      <c r="B263" s="10"/>
      <c r="C263" s="78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ht="12.0" customHeight="1">
      <c r="A264" s="10"/>
      <c r="B264" s="10"/>
      <c r="C264" s="78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ht="12.0" customHeight="1">
      <c r="A265" s="10"/>
      <c r="B265" s="10"/>
      <c r="C265" s="78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ht="12.0" customHeight="1">
      <c r="A266" s="10"/>
      <c r="B266" s="10"/>
      <c r="C266" s="78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ht="12.0" customHeight="1">
      <c r="A267" s="10"/>
      <c r="B267" s="10"/>
      <c r="C267" s="78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ht="12.0" customHeight="1">
      <c r="A268" s="10"/>
      <c r="B268" s="10"/>
      <c r="C268" s="78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ht="12.0" customHeight="1">
      <c r="A269" s="10"/>
      <c r="B269" s="10"/>
      <c r="C269" s="78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ht="12.0" customHeight="1">
      <c r="A270" s="10"/>
      <c r="B270" s="10"/>
      <c r="C270" s="78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ht="12.0" customHeight="1">
      <c r="A271" s="10"/>
      <c r="B271" s="10"/>
      <c r="C271" s="78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ht="12.0" customHeight="1">
      <c r="A272" s="10"/>
      <c r="B272" s="10"/>
      <c r="C272" s="78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ht="12.0" customHeight="1">
      <c r="A273" s="10"/>
      <c r="B273" s="10"/>
      <c r="C273" s="78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ht="12.0" customHeight="1">
      <c r="A274" s="10"/>
      <c r="B274" s="10"/>
      <c r="C274" s="78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ht="12.0" customHeight="1">
      <c r="A275" s="10"/>
      <c r="B275" s="10"/>
      <c r="C275" s="78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ht="12.0" customHeight="1">
      <c r="A276" s="10"/>
      <c r="B276" s="10"/>
      <c r="C276" s="78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ht="12.0" customHeight="1">
      <c r="A277" s="10"/>
      <c r="B277" s="10"/>
      <c r="C277" s="78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ht="12.0" customHeight="1">
      <c r="A278" s="10"/>
      <c r="B278" s="10"/>
      <c r="C278" s="78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ht="12.0" customHeight="1">
      <c r="A279" s="10"/>
      <c r="B279" s="10"/>
      <c r="C279" s="78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ht="12.0" customHeight="1">
      <c r="A280" s="10"/>
      <c r="B280" s="10"/>
      <c r="C280" s="78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ht="12.0" customHeight="1">
      <c r="A281" s="10"/>
      <c r="B281" s="10"/>
      <c r="C281" s="78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ht="12.0" customHeight="1">
      <c r="A282" s="10"/>
      <c r="B282" s="10"/>
      <c r="C282" s="78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ht="12.0" customHeight="1">
      <c r="A283" s="10"/>
      <c r="B283" s="10"/>
      <c r="C283" s="78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ht="12.0" customHeight="1">
      <c r="A284" s="10"/>
      <c r="B284" s="10"/>
      <c r="C284" s="78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ht="12.0" customHeight="1">
      <c r="A285" s="10"/>
      <c r="B285" s="10"/>
      <c r="C285" s="78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ht="12.0" customHeight="1">
      <c r="A286" s="10"/>
      <c r="B286" s="10"/>
      <c r="C286" s="78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ht="12.0" customHeight="1">
      <c r="A287" s="10"/>
      <c r="B287" s="10"/>
      <c r="C287" s="78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ht="12.0" customHeight="1">
      <c r="A288" s="10"/>
      <c r="B288" s="10"/>
      <c r="C288" s="78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ht="12.0" customHeight="1">
      <c r="A289" s="10"/>
      <c r="B289" s="10"/>
      <c r="C289" s="78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ht="12.0" customHeight="1">
      <c r="A290" s="10"/>
      <c r="B290" s="10"/>
      <c r="C290" s="78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ht="12.0" customHeight="1">
      <c r="A291" s="10"/>
      <c r="B291" s="10"/>
      <c r="C291" s="78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ht="12.0" customHeight="1">
      <c r="A292" s="10"/>
      <c r="B292" s="10"/>
      <c r="C292" s="78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ht="12.0" customHeight="1">
      <c r="A293" s="10"/>
      <c r="B293" s="10"/>
      <c r="C293" s="78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ht="12.0" customHeight="1">
      <c r="A294" s="10"/>
      <c r="B294" s="10"/>
      <c r="C294" s="78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ht="12.0" customHeight="1">
      <c r="A295" s="10"/>
      <c r="B295" s="10"/>
      <c r="C295" s="78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ht="12.0" customHeight="1">
      <c r="A296" s="10"/>
      <c r="B296" s="10"/>
      <c r="C296" s="78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ht="12.0" customHeight="1">
      <c r="A297" s="10"/>
      <c r="B297" s="10"/>
      <c r="C297" s="78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25" footer="0.0" header="0.0" left="0.15" right="0.15" top="0.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0.75"/>
    <col customWidth="1" min="2" max="2" width="6.0"/>
    <col customWidth="1" min="3" max="3" width="20.25"/>
    <col customWidth="1" min="4" max="4" width="20.38"/>
    <col customWidth="1" min="5" max="5" width="20.25"/>
    <col customWidth="1" min="6" max="6" width="10.0"/>
    <col customWidth="1" min="7" max="7" width="11.88"/>
    <col customWidth="1" min="8" max="8" width="21.75"/>
    <col customWidth="1" min="9" max="16" width="10.0"/>
    <col customWidth="1" min="17" max="26" width="14.38"/>
  </cols>
  <sheetData>
    <row r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>
      <c r="A2" s="5" t="s">
        <v>0</v>
      </c>
      <c r="B2" s="6"/>
      <c r="C2" s="79" t="s">
        <v>84</v>
      </c>
      <c r="D2" s="8" t="s">
        <v>2</v>
      </c>
      <c r="E2" s="9" t="s">
        <v>3</v>
      </c>
      <c r="F2" s="10"/>
      <c r="G2" s="11" t="s">
        <v>4</v>
      </c>
      <c r="H2" s="80">
        <v>45107.0</v>
      </c>
      <c r="I2" s="10"/>
      <c r="J2" s="10"/>
      <c r="K2" s="10"/>
      <c r="L2" s="10"/>
      <c r="M2" s="10"/>
      <c r="N2" s="10"/>
      <c r="O2" s="10"/>
      <c r="P2" s="10"/>
    </row>
    <row r="3" ht="12.75" customHeight="1">
      <c r="A3" s="13" t="s">
        <v>5</v>
      </c>
      <c r="B3" s="14"/>
      <c r="C3" s="15"/>
      <c r="D3" s="16"/>
      <c r="E3" s="1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ht="12.0" customHeight="1">
      <c r="A4" s="18" t="s">
        <v>6</v>
      </c>
      <c r="B4" s="14"/>
      <c r="C4" s="22">
        <v>6170.0</v>
      </c>
      <c r="D4" s="81">
        <v>6170.0</v>
      </c>
      <c r="E4" s="21">
        <v>0.0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12.0" customHeight="1">
      <c r="A5" s="18" t="s">
        <v>7</v>
      </c>
      <c r="B5" s="14"/>
      <c r="C5" s="22">
        <v>130.0</v>
      </c>
      <c r="D5" s="23">
        <f>135.6+36.7</f>
        <v>172.3</v>
      </c>
      <c r="E5" s="24">
        <f t="shared" ref="E5:E20" si="1">(D5-C5)</f>
        <v>42.3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12.0" customHeight="1">
      <c r="A6" s="18" t="s">
        <v>8</v>
      </c>
      <c r="B6" s="14"/>
      <c r="C6" s="82">
        <v>25000.0</v>
      </c>
      <c r="D6" s="83">
        <v>21635.0</v>
      </c>
      <c r="E6" s="24">
        <f t="shared" si="1"/>
        <v>-3365</v>
      </c>
      <c r="F6" s="26" t="s">
        <v>85</v>
      </c>
      <c r="G6" s="26"/>
      <c r="H6" s="26"/>
      <c r="I6" s="26"/>
      <c r="J6" s="26"/>
      <c r="K6" s="26"/>
      <c r="L6" s="26"/>
      <c r="M6" s="26"/>
      <c r="N6" s="26"/>
      <c r="O6" s="26"/>
      <c r="P6" s="26"/>
    </row>
    <row r="7" ht="12.0" customHeight="1">
      <c r="A7" s="18" t="s">
        <v>10</v>
      </c>
      <c r="B7" s="14"/>
      <c r="C7" s="31">
        <v>1500.0</v>
      </c>
      <c r="D7" s="23">
        <f>100+218.48+220+3.58+75+37.51+ 37.51+37.51</f>
        <v>729.59</v>
      </c>
      <c r="E7" s="24">
        <f t="shared" si="1"/>
        <v>-770.41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ht="12.0" customHeight="1">
      <c r="A8" s="18" t="s">
        <v>11</v>
      </c>
      <c r="B8" s="14"/>
      <c r="C8" s="31">
        <v>1200.0</v>
      </c>
      <c r="D8" s="56">
        <f>481.78+492.93+297.86</f>
        <v>1272.57</v>
      </c>
      <c r="E8" s="24">
        <f t="shared" si="1"/>
        <v>72.57</v>
      </c>
      <c r="F8" s="33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ht="12.0" customHeight="1">
      <c r="A9" s="18" t="s">
        <v>12</v>
      </c>
      <c r="B9" s="14"/>
      <c r="C9" s="31">
        <v>350.0</v>
      </c>
      <c r="D9" s="56">
        <f>68.73+68.81+88.08+64+72.61</f>
        <v>362.23</v>
      </c>
      <c r="E9" s="24">
        <f t="shared" si="1"/>
        <v>12.23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ht="12.0" customHeight="1">
      <c r="A10" s="18" t="s">
        <v>86</v>
      </c>
      <c r="B10" s="14"/>
      <c r="C10" s="31">
        <v>450.0</v>
      </c>
      <c r="D10" s="23">
        <f>84.44+95.32+118.64+45.66+121.67</f>
        <v>465.73</v>
      </c>
      <c r="E10" s="24">
        <f t="shared" si="1"/>
        <v>15.73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ht="12.0" customHeight="1">
      <c r="A11" s="18" t="s">
        <v>13</v>
      </c>
      <c r="B11" s="14"/>
      <c r="C11" s="31">
        <v>450.0</v>
      </c>
      <c r="D11" s="23">
        <v>58.32</v>
      </c>
      <c r="E11" s="24">
        <f t="shared" si="1"/>
        <v>-391.68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ht="12.0" customHeight="1">
      <c r="A12" s="18" t="s">
        <v>14</v>
      </c>
      <c r="B12" s="14"/>
      <c r="C12" s="22">
        <v>1000.0</v>
      </c>
      <c r="D12" s="23">
        <f>107.56+191+387.62+220.32+81.22+265.02</f>
        <v>1252.74</v>
      </c>
      <c r="E12" s="24">
        <f t="shared" si="1"/>
        <v>252.74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ht="12.0" customHeight="1">
      <c r="A13" s="18" t="s">
        <v>15</v>
      </c>
      <c r="B13" s="14"/>
      <c r="C13" s="22">
        <v>4000.0</v>
      </c>
      <c r="D13" s="23">
        <f>914 +1947+1682</f>
        <v>4543</v>
      </c>
      <c r="E13" s="24">
        <f t="shared" si="1"/>
        <v>543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ht="12.0" customHeight="1">
      <c r="A14" s="18" t="s">
        <v>16</v>
      </c>
      <c r="B14" s="14"/>
      <c r="C14" s="22">
        <v>1000.0</v>
      </c>
      <c r="D14" s="23">
        <v>194.7</v>
      </c>
      <c r="E14" s="24">
        <f t="shared" si="1"/>
        <v>-805.3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ht="12.0" customHeight="1">
      <c r="A15" s="18" t="s">
        <v>87</v>
      </c>
      <c r="B15" s="14"/>
      <c r="C15" s="22">
        <v>0.0</v>
      </c>
      <c r="D15" s="23"/>
      <c r="E15" s="24">
        <f t="shared" si="1"/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ht="12.0" customHeight="1">
      <c r="A16" s="18" t="s">
        <v>88</v>
      </c>
      <c r="B16" s="14"/>
      <c r="C16" s="22">
        <v>0.0</v>
      </c>
      <c r="D16" s="23">
        <v>40.0</v>
      </c>
      <c r="E16" s="24">
        <f t="shared" si="1"/>
        <v>40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ht="12.0" customHeight="1">
      <c r="A17" s="18" t="s">
        <v>19</v>
      </c>
      <c r="B17" s="14"/>
      <c r="C17" s="22">
        <v>1500.0</v>
      </c>
      <c r="D17" s="84">
        <v>940.0</v>
      </c>
      <c r="E17" s="85">
        <f t="shared" si="1"/>
        <v>-560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ht="12.0" customHeight="1">
      <c r="A18" s="18" t="s">
        <v>20</v>
      </c>
      <c r="B18" s="14"/>
      <c r="C18" s="22">
        <v>1500.0</v>
      </c>
      <c r="D18" s="34">
        <v>1550.0</v>
      </c>
      <c r="E18" s="24">
        <f t="shared" si="1"/>
        <v>50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ht="12.0" customHeight="1">
      <c r="A19" s="18" t="s">
        <v>21</v>
      </c>
      <c r="B19" s="14"/>
      <c r="C19" s="22">
        <v>2.0</v>
      </c>
      <c r="D19" s="23">
        <f>0.02+0.06+0.08+0.09+0.09+0.08+0.07+0.06+0.05</f>
        <v>0.6</v>
      </c>
      <c r="E19" s="24">
        <f t="shared" si="1"/>
        <v>-1.4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ht="12.0" customHeight="1">
      <c r="A20" s="35" t="s">
        <v>22</v>
      </c>
      <c r="B20" s="36"/>
      <c r="C20" s="37">
        <f t="shared" ref="C20:D20" si="2">SUM(C4:C19)</f>
        <v>44252</v>
      </c>
      <c r="D20" s="37">
        <f t="shared" si="2"/>
        <v>39386.78</v>
      </c>
      <c r="E20" s="38">
        <f t="shared" si="1"/>
        <v>-4865.22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39" t="s">
        <v>23</v>
      </c>
    </row>
    <row r="21" ht="11.25" customHeight="1">
      <c r="A21" s="86" t="s">
        <v>24</v>
      </c>
      <c r="B21" s="14"/>
      <c r="C21" s="22"/>
      <c r="D21" s="23"/>
      <c r="E21" s="21">
        <f>C21-D21</f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ht="12.0" customHeight="1">
      <c r="A22" s="41" t="s">
        <v>25</v>
      </c>
      <c r="B22" s="14"/>
      <c r="C22" s="22"/>
      <c r="D22" s="23"/>
      <c r="E22" s="2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ht="12.0" customHeight="1">
      <c r="A23" s="18" t="s">
        <v>26</v>
      </c>
      <c r="B23" s="14"/>
      <c r="C23" s="22">
        <v>500.0</v>
      </c>
      <c r="D23" s="23">
        <f>260+25.23+72.18</f>
        <v>357.41</v>
      </c>
      <c r="E23" s="21">
        <f t="shared" ref="E23:E46" si="3">C23-D23</f>
        <v>142.59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ht="12.0" customHeight="1">
      <c r="A24" s="18" t="s">
        <v>27</v>
      </c>
      <c r="B24" s="14"/>
      <c r="C24" s="22">
        <v>1200.0</v>
      </c>
      <c r="D24" s="23">
        <f>589.99+555.55</f>
        <v>1145.54</v>
      </c>
      <c r="E24" s="21">
        <f t="shared" si="3"/>
        <v>54.46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ht="12.0" customHeight="1">
      <c r="A25" s="18" t="s">
        <v>28</v>
      </c>
      <c r="B25" s="14"/>
      <c r="C25" s="31">
        <v>1700.0</v>
      </c>
      <c r="D25" s="23">
        <f>716.49+598.99+92.66</f>
        <v>1408.14</v>
      </c>
      <c r="E25" s="21">
        <f t="shared" si="3"/>
        <v>291.86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ht="12.0" customHeight="1">
      <c r="A26" s="18" t="s">
        <v>29</v>
      </c>
      <c r="B26" s="14"/>
      <c r="C26" s="22">
        <v>1500.0</v>
      </c>
      <c r="D26" s="23">
        <f>125+200+445+150+154.12+278.64+484.56+118.7+141.99</f>
        <v>2098.01</v>
      </c>
      <c r="E26" s="21">
        <f t="shared" si="3"/>
        <v>-598.01</v>
      </c>
      <c r="F26" s="42" t="s">
        <v>89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ht="12.0" customHeight="1">
      <c r="A27" s="43" t="s">
        <v>30</v>
      </c>
      <c r="B27" s="14"/>
      <c r="C27" s="31">
        <v>3000.0</v>
      </c>
      <c r="D27" s="23">
        <v>2256.84</v>
      </c>
      <c r="E27" s="21">
        <f t="shared" si="3"/>
        <v>743.16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ht="18.75" customHeight="1">
      <c r="A28" s="41" t="s">
        <v>31</v>
      </c>
      <c r="B28" s="44"/>
      <c r="C28" s="45">
        <f>SUM(C23:C27)</f>
        <v>7900</v>
      </c>
      <c r="D28" s="46">
        <f>SUM(D21:D27)</f>
        <v>7265.94</v>
      </c>
      <c r="E28" s="47">
        <f t="shared" si="3"/>
        <v>634.06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ht="14.25" customHeight="1">
      <c r="A29" s="18"/>
      <c r="B29" s="48"/>
      <c r="C29" s="22"/>
      <c r="D29" s="23"/>
      <c r="E29" s="21">
        <f t="shared" si="3"/>
        <v>0</v>
      </c>
      <c r="F29" s="10" t="s">
        <v>23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ht="12.0" customHeight="1">
      <c r="A30" s="41" t="s">
        <v>32</v>
      </c>
      <c r="B30" s="48"/>
      <c r="C30" s="22"/>
      <c r="D30" s="23"/>
      <c r="E30" s="21">
        <f t="shared" si="3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ht="12.0" customHeight="1">
      <c r="A31" s="18" t="s">
        <v>33</v>
      </c>
      <c r="B31" s="48"/>
      <c r="C31" s="22">
        <v>450.0</v>
      </c>
      <c r="D31" s="23">
        <v>450.0</v>
      </c>
      <c r="E31" s="21">
        <f t="shared" si="3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ht="12.0" customHeight="1">
      <c r="A32" s="18" t="s">
        <v>34</v>
      </c>
      <c r="B32" s="48"/>
      <c r="C32" s="22">
        <v>500.0</v>
      </c>
      <c r="D32" s="23">
        <f>109.53+30.23+69.9+20+56.98</f>
        <v>286.64</v>
      </c>
      <c r="E32" s="21">
        <f t="shared" si="3"/>
        <v>213.36</v>
      </c>
      <c r="F32" s="49"/>
      <c r="G32" s="49"/>
      <c r="H32" s="10"/>
      <c r="I32" s="10"/>
      <c r="J32" s="10"/>
      <c r="K32" s="10"/>
      <c r="L32" s="10"/>
      <c r="M32" s="10"/>
      <c r="N32" s="10"/>
      <c r="O32" s="10"/>
      <c r="P32" s="10"/>
    </row>
    <row r="33" ht="12.0" customHeight="1">
      <c r="A33" s="18" t="s">
        <v>35</v>
      </c>
      <c r="B33" s="48"/>
      <c r="C33" s="22">
        <v>3000.0</v>
      </c>
      <c r="D33" s="23">
        <f>2395+200.49+1137.95+127.67+84.95+97.83+63.8</f>
        <v>4107.69</v>
      </c>
      <c r="E33" s="21">
        <f t="shared" si="3"/>
        <v>-1107.69</v>
      </c>
      <c r="F33" s="50" t="s">
        <v>90</v>
      </c>
      <c r="G33" s="49"/>
      <c r="H33" s="10"/>
      <c r="I33" s="10"/>
      <c r="J33" s="10"/>
      <c r="K33" s="10"/>
      <c r="L33" s="10"/>
      <c r="M33" s="10"/>
      <c r="N33" s="10"/>
      <c r="O33" s="10"/>
      <c r="P33" s="10"/>
    </row>
    <row r="34" ht="12.0" customHeight="1">
      <c r="A34" s="18" t="s">
        <v>36</v>
      </c>
      <c r="B34" s="14"/>
      <c r="C34" s="22">
        <v>1500.0</v>
      </c>
      <c r="D34" s="23">
        <f>1160.25+48+301.88</f>
        <v>1510.13</v>
      </c>
      <c r="E34" s="21">
        <f t="shared" si="3"/>
        <v>-10.13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ht="12.0" customHeight="1">
      <c r="A35" s="18" t="s">
        <v>37</v>
      </c>
      <c r="B35" s="14"/>
      <c r="C35" s="22">
        <v>1500.0</v>
      </c>
      <c r="D35" s="87">
        <f>1993+75+268.55+29.42</f>
        <v>2365.97</v>
      </c>
      <c r="E35" s="21">
        <f t="shared" si="3"/>
        <v>-865.97</v>
      </c>
      <c r="F35" s="42" t="s">
        <v>91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ht="12.0" customHeight="1">
      <c r="A36" s="18" t="s">
        <v>38</v>
      </c>
      <c r="B36" s="14"/>
      <c r="C36" s="22">
        <v>450.0</v>
      </c>
      <c r="D36" s="23">
        <v>412.82</v>
      </c>
      <c r="E36" s="21">
        <f t="shared" si="3"/>
        <v>37.18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ht="12.0" customHeight="1">
      <c r="A37" s="41" t="s">
        <v>39</v>
      </c>
      <c r="B37" s="44"/>
      <c r="C37" s="45">
        <f t="shared" ref="C37:D37" si="4">SUM(C31:C36)</f>
        <v>7400</v>
      </c>
      <c r="D37" s="45">
        <f t="shared" si="4"/>
        <v>9133.25</v>
      </c>
      <c r="E37" s="47">
        <f t="shared" si="3"/>
        <v>-1733.25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ht="7.5" customHeight="1">
      <c r="A38" s="18"/>
      <c r="B38" s="14"/>
      <c r="C38" s="22"/>
      <c r="D38" s="23"/>
      <c r="E38" s="21">
        <f t="shared" si="3"/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ht="12.0" customHeight="1">
      <c r="A39" s="41" t="s">
        <v>40</v>
      </c>
      <c r="B39" s="14"/>
      <c r="C39" s="22"/>
      <c r="D39" s="23"/>
      <c r="E39" s="21">
        <f t="shared" si="3"/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ht="12.0" customHeight="1">
      <c r="A40" s="52" t="s">
        <v>41</v>
      </c>
      <c r="B40" s="14"/>
      <c r="C40" s="22">
        <v>1000.0</v>
      </c>
      <c r="D40" s="23">
        <v>121.3</v>
      </c>
      <c r="E40" s="21">
        <f t="shared" si="3"/>
        <v>878.7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ht="12.0" customHeight="1">
      <c r="A41" s="41" t="s">
        <v>43</v>
      </c>
      <c r="B41" s="44"/>
      <c r="C41" s="88">
        <f>SUM(C40)</f>
        <v>1000</v>
      </c>
      <c r="D41" s="89"/>
      <c r="E41" s="21">
        <f t="shared" si="3"/>
        <v>1000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ht="6.75" customHeight="1">
      <c r="A42" s="18"/>
      <c r="B42" s="14"/>
      <c r="C42" s="22"/>
      <c r="D42" s="23"/>
      <c r="E42" s="21">
        <f t="shared" si="3"/>
        <v>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ht="12.0" customHeight="1">
      <c r="A43" s="41" t="s">
        <v>44</v>
      </c>
      <c r="B43" s="14"/>
      <c r="C43" s="22"/>
      <c r="D43" s="23"/>
      <c r="E43" s="21">
        <f t="shared" si="3"/>
        <v>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ht="12.0" customHeight="1">
      <c r="A44" s="18" t="s">
        <v>45</v>
      </c>
      <c r="B44" s="14"/>
      <c r="C44" s="22">
        <v>300.0</v>
      </c>
      <c r="D44" s="23">
        <f>75+43.17+178.18+34.44</f>
        <v>330.79</v>
      </c>
      <c r="E44" s="21">
        <f t="shared" si="3"/>
        <v>-30.79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ht="12.0" customHeight="1">
      <c r="A45" s="18" t="s">
        <v>46</v>
      </c>
      <c r="B45" s="14"/>
      <c r="C45" s="22">
        <v>0.0</v>
      </c>
      <c r="D45" s="23">
        <v>222.5</v>
      </c>
      <c r="E45" s="21">
        <f t="shared" si="3"/>
        <v>-222.5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ht="12.0" customHeight="1">
      <c r="A46" s="18" t="s">
        <v>47</v>
      </c>
      <c r="B46" s="14"/>
      <c r="C46" s="22">
        <v>2000.0</v>
      </c>
      <c r="D46" s="56">
        <f>93.75+780+131.25+225+183.76+112.5+93.75+3.75</f>
        <v>1623.76</v>
      </c>
      <c r="E46" s="21">
        <f t="shared" si="3"/>
        <v>376.24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ht="12.0" customHeight="1">
      <c r="A47" s="41" t="s">
        <v>48</v>
      </c>
      <c r="B47" s="44"/>
      <c r="C47" s="45">
        <f>SUM(C44:C46)</f>
        <v>2300</v>
      </c>
      <c r="D47" s="46">
        <f>SUM(D40:D46)</f>
        <v>2298.35</v>
      </c>
      <c r="E47" s="55">
        <f>SUM(E44:E46)</f>
        <v>122.95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ht="9.0" customHeight="1">
      <c r="A48" s="18"/>
      <c r="B48" s="18"/>
      <c r="C48" s="22"/>
      <c r="D48" s="23"/>
      <c r="E48" s="21">
        <f>C48-D48</f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ht="12.0" customHeight="1">
      <c r="A49" s="41" t="s">
        <v>49</v>
      </c>
      <c r="B49" s="14"/>
      <c r="C49" s="22"/>
      <c r="D49" s="23"/>
      <c r="E49" s="21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ht="12.0" customHeight="1">
      <c r="A50" s="18" t="s">
        <v>50</v>
      </c>
      <c r="B50" s="14"/>
      <c r="C50" s="22">
        <v>325.0</v>
      </c>
      <c r="D50" s="56">
        <v>325.0</v>
      </c>
      <c r="E50" s="21">
        <f t="shared" ref="E50:E57" si="5">C50-D50</f>
        <v>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ht="12.0" customHeight="1">
      <c r="A51" s="18" t="s">
        <v>51</v>
      </c>
      <c r="B51" s="14"/>
      <c r="C51" s="22">
        <v>60.0</v>
      </c>
      <c r="D51" s="23">
        <f>20+30</f>
        <v>50</v>
      </c>
      <c r="E51" s="21">
        <f t="shared" si="5"/>
        <v>10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ht="12.0" customHeight="1">
      <c r="A52" s="18" t="s">
        <v>52</v>
      </c>
      <c r="B52" s="14"/>
      <c r="C52" s="22">
        <v>125.0</v>
      </c>
      <c r="D52" s="23">
        <v>189.9</v>
      </c>
      <c r="E52" s="21">
        <f t="shared" si="5"/>
        <v>-64.9</v>
      </c>
      <c r="F52" s="10" t="s">
        <v>92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ht="12.0" customHeight="1">
      <c r="A53" s="18" t="s">
        <v>53</v>
      </c>
      <c r="B53" s="14"/>
      <c r="C53" s="22">
        <v>800.0</v>
      </c>
      <c r="D53" s="56">
        <f>643.83+201.18+45.52+136.98</f>
        <v>1027.51</v>
      </c>
      <c r="E53" s="21">
        <f t="shared" si="5"/>
        <v>-227.51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ht="12.0" customHeight="1">
      <c r="A54" s="18" t="s">
        <v>54</v>
      </c>
      <c r="B54" s="14"/>
      <c r="C54" s="22">
        <v>150.0</v>
      </c>
      <c r="D54" s="23">
        <v>150.0</v>
      </c>
      <c r="E54" s="21">
        <f t="shared" si="5"/>
        <v>0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ht="12.0" customHeight="1">
      <c r="A55" s="18" t="s">
        <v>55</v>
      </c>
      <c r="B55" s="14"/>
      <c r="C55" s="22">
        <v>125.0</v>
      </c>
      <c r="D55" s="23">
        <v>125.0</v>
      </c>
      <c r="E55" s="21">
        <f t="shared" si="5"/>
        <v>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ht="12.0" customHeight="1">
      <c r="A56" s="18" t="s">
        <v>56</v>
      </c>
      <c r="B56" s="14"/>
      <c r="C56" s="22">
        <v>215.0</v>
      </c>
      <c r="D56" s="23">
        <v>215.0</v>
      </c>
      <c r="E56" s="21">
        <f t="shared" si="5"/>
        <v>0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ht="12.0" customHeight="1">
      <c r="A57" s="18" t="s">
        <v>57</v>
      </c>
      <c r="B57" s="14"/>
      <c r="C57" s="31">
        <v>900.0</v>
      </c>
      <c r="D57" s="23">
        <v>47.2</v>
      </c>
      <c r="E57" s="21">
        <f t="shared" si="5"/>
        <v>852.8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ht="12.0" customHeight="1">
      <c r="A58" s="18" t="s">
        <v>93</v>
      </c>
      <c r="B58" s="14"/>
      <c r="C58" s="22">
        <v>3000.0</v>
      </c>
      <c r="D58" s="23">
        <v>3000.0</v>
      </c>
      <c r="E58" s="21">
        <v>0.0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ht="12.0" customHeight="1">
      <c r="A59" s="18" t="s">
        <v>58</v>
      </c>
      <c r="B59" s="44"/>
      <c r="C59" s="22">
        <v>200.0</v>
      </c>
      <c r="D59" s="56">
        <v>80.65</v>
      </c>
      <c r="E59" s="21">
        <f t="shared" ref="E59:E67" si="6">C59-D59</f>
        <v>119.35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ht="12.0" customHeight="1">
      <c r="A60" s="18" t="s">
        <v>59</v>
      </c>
      <c r="B60" s="14"/>
      <c r="C60" s="22">
        <v>50.0</v>
      </c>
      <c r="D60" s="23">
        <f>29.37+26.86</f>
        <v>56.23</v>
      </c>
      <c r="E60" s="21">
        <f t="shared" si="6"/>
        <v>-6.23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ht="12.0" customHeight="1">
      <c r="A61" s="18" t="s">
        <v>94</v>
      </c>
      <c r="B61" s="14"/>
      <c r="C61" s="22">
        <v>150.0</v>
      </c>
      <c r="D61" s="23"/>
      <c r="E61" s="21">
        <f t="shared" si="6"/>
        <v>150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2.0" customHeight="1">
      <c r="A62" s="18" t="s">
        <v>60</v>
      </c>
      <c r="B62" s="14"/>
      <c r="C62" s="31">
        <v>320.0</v>
      </c>
      <c r="D62" s="23">
        <v>320.0</v>
      </c>
      <c r="E62" s="21">
        <f t="shared" si="6"/>
        <v>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ht="12.0" customHeight="1">
      <c r="A63" s="18" t="s">
        <v>61</v>
      </c>
      <c r="B63" s="48"/>
      <c r="C63" s="22">
        <v>100.0</v>
      </c>
      <c r="D63" s="56">
        <v>96.0</v>
      </c>
      <c r="E63" s="21">
        <f t="shared" si="6"/>
        <v>4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ht="12.0" customHeight="1">
      <c r="A64" s="18" t="s">
        <v>95</v>
      </c>
      <c r="B64" s="14"/>
      <c r="C64" s="22">
        <v>0.0</v>
      </c>
      <c r="D64" s="23"/>
      <c r="E64" s="21">
        <f t="shared" si="6"/>
        <v>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ht="12.0" customHeight="1">
      <c r="A65" s="18" t="s">
        <v>62</v>
      </c>
      <c r="B65" s="14"/>
      <c r="C65" s="22">
        <v>120.0</v>
      </c>
      <c r="D65" s="23">
        <v>119.99</v>
      </c>
      <c r="E65" s="21">
        <f t="shared" si="6"/>
        <v>0.01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ht="12.0" customHeight="1">
      <c r="A66" s="18" t="s">
        <v>96</v>
      </c>
      <c r="B66" s="10"/>
      <c r="C66" s="22">
        <v>72.0</v>
      </c>
      <c r="D66" s="23"/>
      <c r="E66" s="21">
        <f t="shared" si="6"/>
        <v>72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ht="12.0" customHeight="1">
      <c r="A67" s="18" t="s">
        <v>63</v>
      </c>
      <c r="B67" s="10"/>
      <c r="C67" s="22">
        <v>120.0</v>
      </c>
      <c r="D67" s="23">
        <v>119.92</v>
      </c>
      <c r="E67" s="21">
        <f t="shared" si="6"/>
        <v>0.08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ht="12.0" customHeight="1">
      <c r="A68" s="41" t="s">
        <v>64</v>
      </c>
      <c r="B68" s="44"/>
      <c r="C68" s="45">
        <f t="shared" ref="C68:E68" si="7">SUM(C50:C67)</f>
        <v>6832</v>
      </c>
      <c r="D68" s="46">
        <f t="shared" si="7"/>
        <v>5922.4</v>
      </c>
      <c r="E68" s="55">
        <f t="shared" si="7"/>
        <v>909.6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ht="5.25" customHeight="1">
      <c r="A69" s="41"/>
      <c r="B69" s="14"/>
      <c r="C69" s="22"/>
      <c r="D69" s="23"/>
      <c r="E69" s="21">
        <f t="shared" ref="E69:E82" si="8">C69-D69</f>
        <v>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ht="12.0" customHeight="1">
      <c r="A70" s="41" t="s">
        <v>97</v>
      </c>
      <c r="B70" s="14"/>
      <c r="C70" s="22"/>
      <c r="D70" s="23"/>
      <c r="E70" s="21">
        <f t="shared" si="8"/>
        <v>0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ht="12.0" customHeight="1">
      <c r="A71" s="18" t="s">
        <v>65</v>
      </c>
      <c r="B71" s="14"/>
      <c r="C71" s="22">
        <v>1500.0</v>
      </c>
      <c r="D71" s="56">
        <f>329+102.62</f>
        <v>431.62</v>
      </c>
      <c r="E71" s="21">
        <f t="shared" si="8"/>
        <v>1068.38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ht="12.0" customHeight="1">
      <c r="A72" s="18" t="s">
        <v>67</v>
      </c>
      <c r="B72" s="14"/>
      <c r="C72" s="22">
        <v>250.0</v>
      </c>
      <c r="D72" s="23">
        <v>219.87</v>
      </c>
      <c r="E72" s="21">
        <f t="shared" si="8"/>
        <v>30.13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ht="12.0" customHeight="1">
      <c r="A73" s="18" t="s">
        <v>68</v>
      </c>
      <c r="B73" s="14"/>
      <c r="C73" s="22">
        <v>200.0</v>
      </c>
      <c r="D73" s="23">
        <v>107.52</v>
      </c>
      <c r="E73" s="21">
        <f t="shared" si="8"/>
        <v>92.48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ht="12.0" customHeight="1">
      <c r="A74" s="18" t="s">
        <v>69</v>
      </c>
      <c r="B74" s="14"/>
      <c r="C74" s="22">
        <v>2000.0</v>
      </c>
      <c r="D74" s="90">
        <f>200+329+195.85+409.35+295.12+98.7</f>
        <v>1528.02</v>
      </c>
      <c r="E74" s="21">
        <f t="shared" si="8"/>
        <v>471.98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ht="12.0" customHeight="1">
      <c r="A75" s="18" t="s">
        <v>70</v>
      </c>
      <c r="B75" s="14"/>
      <c r="C75" s="22">
        <v>2500.0</v>
      </c>
      <c r="D75" s="23">
        <f>325+250+413.32+125.37+951.27+725.44</f>
        <v>2790.4</v>
      </c>
      <c r="E75" s="21">
        <f t="shared" si="8"/>
        <v>-290.4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ht="12.0" customHeight="1">
      <c r="A76" s="18" t="s">
        <v>71</v>
      </c>
      <c r="B76" s="14"/>
      <c r="C76" s="22">
        <v>4000.0</v>
      </c>
      <c r="D76" s="23">
        <f>375+375+690+449.25+1432.63</f>
        <v>3321.88</v>
      </c>
      <c r="E76" s="21">
        <f t="shared" si="8"/>
        <v>678.12</v>
      </c>
      <c r="F76" s="49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ht="12.0" customHeight="1">
      <c r="A77" s="18" t="s">
        <v>72</v>
      </c>
      <c r="B77" s="14"/>
      <c r="C77" s="22">
        <v>5000.0</v>
      </c>
      <c r="D77" s="23">
        <f>275.78+1527.75+1812.79+49.5</f>
        <v>3665.82</v>
      </c>
      <c r="E77" s="21">
        <f t="shared" si="8"/>
        <v>1334.18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ht="12.0" customHeight="1">
      <c r="A78" s="41" t="s">
        <v>74</v>
      </c>
      <c r="B78" s="44"/>
      <c r="C78" s="45">
        <f t="shared" ref="C78:D78" si="9">SUM(C71:C77)</f>
        <v>15450</v>
      </c>
      <c r="D78" s="46">
        <f t="shared" si="9"/>
        <v>12065.13</v>
      </c>
      <c r="E78" s="47">
        <f t="shared" si="8"/>
        <v>3384.87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ht="12.0" customHeight="1">
      <c r="A79" s="18" t="s">
        <v>76</v>
      </c>
      <c r="B79" s="44"/>
      <c r="C79" s="22">
        <v>200.0</v>
      </c>
      <c r="D79" s="23"/>
      <c r="E79" s="21">
        <f t="shared" si="8"/>
        <v>200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ht="12.0" customHeight="1">
      <c r="A80" s="18" t="s">
        <v>77</v>
      </c>
      <c r="B80" s="44"/>
      <c r="C80" s="22">
        <v>500.0</v>
      </c>
      <c r="D80" s="23">
        <v>365.38</v>
      </c>
      <c r="E80" s="21">
        <f t="shared" si="8"/>
        <v>134.62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ht="12.0" customHeight="1">
      <c r="A81" s="18" t="s">
        <v>78</v>
      </c>
      <c r="B81" s="44"/>
      <c r="C81" s="22">
        <v>1000.0</v>
      </c>
      <c r="D81" s="56">
        <f>156.4+109+248</f>
        <v>513.4</v>
      </c>
      <c r="E81" s="21">
        <f t="shared" si="8"/>
        <v>486.6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ht="12.0" customHeight="1">
      <c r="A82" s="41" t="s">
        <v>98</v>
      </c>
      <c r="B82" s="44"/>
      <c r="C82" s="64">
        <f t="shared" ref="C82:D82" si="10">SUM(C79:C81)</f>
        <v>1700</v>
      </c>
      <c r="D82" s="64">
        <f t="shared" si="10"/>
        <v>878.78</v>
      </c>
      <c r="E82" s="65">
        <f t="shared" si="8"/>
        <v>821.22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ht="12.0" customHeight="1">
      <c r="A83" s="91" t="s">
        <v>80</v>
      </c>
      <c r="B83" s="92"/>
      <c r="C83" s="93">
        <f t="shared" ref="C83:E83" si="11">C82+C78+C68+C47+C41+C37+C28</f>
        <v>42582</v>
      </c>
      <c r="D83" s="93">
        <f t="shared" si="11"/>
        <v>37563.85</v>
      </c>
      <c r="E83" s="94">
        <f t="shared" si="11"/>
        <v>5139.45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ht="14.25" customHeight="1">
      <c r="A84" s="95" t="s">
        <v>99</v>
      </c>
      <c r="B84" s="68"/>
      <c r="C84" s="69"/>
      <c r="D84" s="68"/>
      <c r="E84" s="7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ht="14.25" customHeight="1">
      <c r="A85" s="49"/>
      <c r="B85" s="49"/>
      <c r="C85" s="96">
        <f>C20-C83</f>
        <v>1670</v>
      </c>
      <c r="D85" s="96"/>
      <c r="E85" s="7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ht="12.0" customHeight="1">
      <c r="A86" s="43"/>
      <c r="B86" s="97"/>
      <c r="C86" s="98"/>
      <c r="D86" s="52"/>
      <c r="E86" s="52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ht="12.0" customHeight="1">
      <c r="A87" s="49"/>
      <c r="B87" s="49"/>
      <c r="C87" s="77"/>
      <c r="D87" s="70"/>
      <c r="E87" s="7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ht="12.0" customHeight="1">
      <c r="A88" s="49"/>
      <c r="B88" s="49"/>
      <c r="C88" s="77"/>
      <c r="D88" s="70"/>
      <c r="E88" s="7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ht="12.0" customHeight="1">
      <c r="A89" s="49"/>
      <c r="B89" s="49"/>
      <c r="C89" s="77"/>
      <c r="D89" s="70"/>
      <c r="E89" s="7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ht="12.0" customHeight="1">
      <c r="A90" s="49"/>
      <c r="B90" s="49"/>
      <c r="C90" s="3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ht="12.0" customHeight="1">
      <c r="A91" s="49"/>
      <c r="B91" s="49"/>
      <c r="C91" s="3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ht="12.0" customHeight="1">
      <c r="A92" s="49"/>
      <c r="B92" s="49"/>
      <c r="C92" s="3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ht="12.0" customHeight="1">
      <c r="A93" s="49"/>
      <c r="B93" s="49"/>
      <c r="C93" s="3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ht="12.0" customHeight="1">
      <c r="A94" s="49"/>
      <c r="B94" s="49"/>
      <c r="C94" s="3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ht="12.0" customHeight="1">
      <c r="A95" s="49"/>
      <c r="B95" s="49"/>
      <c r="C95" s="3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ht="12.0" customHeight="1">
      <c r="A96" s="49"/>
      <c r="B96" s="49"/>
      <c r="C96" s="3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ht="12.0" hidden="1" customHeight="1">
      <c r="A97" s="49" t="s">
        <v>83</v>
      </c>
      <c r="B97" s="49"/>
      <c r="C97" s="3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ht="12.0" customHeight="1">
      <c r="A98" s="49"/>
      <c r="B98" s="49"/>
      <c r="C98" s="33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ht="12.0" customHeight="1">
      <c r="A99" s="49"/>
      <c r="B99" s="49"/>
      <c r="C99" s="3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ht="12.0" customHeight="1">
      <c r="A100" s="49"/>
      <c r="B100" s="49"/>
      <c r="C100" s="33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ht="12.0" customHeight="1">
      <c r="A101" s="49"/>
      <c r="B101" s="49"/>
      <c r="C101" s="3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ht="12.0" customHeight="1">
      <c r="A102" s="49"/>
      <c r="B102" s="49"/>
      <c r="C102" s="33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ht="12.0" customHeight="1">
      <c r="A103" s="49"/>
      <c r="B103" s="49"/>
      <c r="C103" s="3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ht="12.0" customHeight="1">
      <c r="A104" s="49"/>
      <c r="B104" s="49"/>
      <c r="C104" s="33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ht="12.0" customHeight="1">
      <c r="A105" s="49"/>
      <c r="B105" s="49"/>
      <c r="C105" s="33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ht="12.0" customHeight="1">
      <c r="A106" s="49"/>
      <c r="B106" s="49"/>
      <c r="C106" s="33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ht="12.0" customHeight="1">
      <c r="A107" s="49"/>
      <c r="B107" s="49"/>
      <c r="C107" s="33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ht="12.0" customHeight="1">
      <c r="A108" s="49"/>
      <c r="B108" s="49"/>
      <c r="C108" s="33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ht="12.0" customHeight="1">
      <c r="A109" s="49"/>
      <c r="B109" s="49"/>
      <c r="C109" s="33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ht="12.0" customHeight="1">
      <c r="A110" s="49"/>
      <c r="B110" s="49"/>
      <c r="C110" s="33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ht="12.0" customHeight="1">
      <c r="A111" s="49"/>
      <c r="B111" s="49"/>
      <c r="C111" s="33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ht="12.0" customHeight="1">
      <c r="A112" s="49"/>
      <c r="B112" s="49"/>
      <c r="C112" s="33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ht="12.0" customHeight="1">
      <c r="A113" s="49"/>
      <c r="B113" s="49"/>
      <c r="C113" s="3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ht="12.0" customHeight="1">
      <c r="A114" s="49"/>
      <c r="B114" s="49"/>
      <c r="C114" s="33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ht="12.0" customHeight="1">
      <c r="A115" s="49"/>
      <c r="B115" s="49"/>
      <c r="C115" s="33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ht="12.0" customHeight="1">
      <c r="A116" s="49"/>
      <c r="B116" s="49"/>
      <c r="C116" s="33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ht="12.0" customHeight="1">
      <c r="A117" s="49"/>
      <c r="B117" s="49"/>
      <c r="C117" s="33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ht="12.0" customHeight="1">
      <c r="A118" s="49"/>
      <c r="B118" s="49"/>
      <c r="C118" s="33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ht="12.0" customHeight="1">
      <c r="A119" s="49"/>
      <c r="B119" s="49"/>
      <c r="C119" s="33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ht="12.0" customHeight="1">
      <c r="A120" s="49"/>
      <c r="B120" s="49"/>
      <c r="C120" s="33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ht="12.0" customHeight="1">
      <c r="A121" s="49"/>
      <c r="B121" s="49"/>
      <c r="C121" s="33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ht="12.0" customHeight="1">
      <c r="A122" s="49"/>
      <c r="B122" s="49"/>
      <c r="C122" s="33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ht="12.0" customHeight="1">
      <c r="A123" s="49"/>
      <c r="B123" s="49"/>
      <c r="C123" s="33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ht="12.0" customHeight="1">
      <c r="A124" s="49"/>
      <c r="B124" s="49"/>
      <c r="C124" s="33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ht="12.0" customHeight="1">
      <c r="A125" s="49"/>
      <c r="B125" s="49"/>
      <c r="C125" s="33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ht="12.0" customHeight="1">
      <c r="A126" s="49"/>
      <c r="B126" s="49"/>
      <c r="C126" s="33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ht="12.0" customHeight="1">
      <c r="A127" s="49"/>
      <c r="B127" s="49"/>
      <c r="C127" s="33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ht="12.0" customHeight="1">
      <c r="A128" s="49"/>
      <c r="B128" s="49"/>
      <c r="C128" s="33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ht="12.0" customHeight="1">
      <c r="A129" s="49"/>
      <c r="B129" s="49"/>
      <c r="C129" s="33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ht="12.0" customHeight="1">
      <c r="A130" s="10"/>
      <c r="B130" s="10"/>
      <c r="C130" s="78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ht="12.0" customHeight="1">
      <c r="A131" s="10"/>
      <c r="B131" s="10"/>
      <c r="C131" s="78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ht="12.0" customHeight="1">
      <c r="A132" s="10"/>
      <c r="B132" s="10"/>
      <c r="C132" s="7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ht="12.0" customHeight="1">
      <c r="A133" s="10"/>
      <c r="B133" s="10"/>
      <c r="C133" s="78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ht="12.0" customHeight="1">
      <c r="A134" s="10"/>
      <c r="B134" s="10"/>
      <c r="C134" s="78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ht="12.0" customHeight="1">
      <c r="A135" s="10"/>
      <c r="B135" s="10"/>
      <c r="C135" s="78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ht="12.0" customHeight="1">
      <c r="A136" s="10"/>
      <c r="B136" s="10"/>
      <c r="C136" s="78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ht="12.0" customHeight="1">
      <c r="A137" s="10"/>
      <c r="B137" s="10"/>
      <c r="C137" s="78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ht="12.0" customHeight="1">
      <c r="A138" s="10"/>
      <c r="B138" s="10"/>
      <c r="C138" s="78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ht="12.0" customHeight="1">
      <c r="A139" s="10"/>
      <c r="B139" s="10"/>
      <c r="C139" s="78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ht="12.0" customHeight="1">
      <c r="A140" s="10"/>
      <c r="B140" s="10"/>
      <c r="C140" s="78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ht="12.0" customHeight="1">
      <c r="A141" s="10"/>
      <c r="B141" s="10"/>
      <c r="C141" s="78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ht="12.0" customHeight="1">
      <c r="A142" s="10"/>
      <c r="B142" s="10"/>
      <c r="C142" s="78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ht="12.0" customHeight="1">
      <c r="A143" s="10"/>
      <c r="B143" s="10"/>
      <c r="C143" s="7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ht="12.0" customHeight="1">
      <c r="A144" s="10"/>
      <c r="B144" s="10"/>
      <c r="C144" s="78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ht="12.0" customHeight="1">
      <c r="A145" s="10"/>
      <c r="B145" s="10"/>
      <c r="C145" s="78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ht="12.0" customHeight="1">
      <c r="A146" s="10"/>
      <c r="B146" s="10"/>
      <c r="C146" s="78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ht="12.0" customHeight="1">
      <c r="A147" s="10"/>
      <c r="B147" s="10"/>
      <c r="C147" s="78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ht="12.0" customHeight="1">
      <c r="A148" s="10"/>
      <c r="B148" s="10"/>
      <c r="C148" s="78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ht="12.0" customHeight="1">
      <c r="A149" s="10"/>
      <c r="B149" s="10"/>
      <c r="C149" s="78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ht="12.0" customHeight="1">
      <c r="A150" s="10"/>
      <c r="B150" s="10"/>
      <c r="C150" s="7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ht="12.0" customHeight="1">
      <c r="A151" s="10"/>
      <c r="B151" s="10"/>
      <c r="C151" s="7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ht="12.0" customHeight="1">
      <c r="A152" s="10"/>
      <c r="B152" s="10"/>
      <c r="C152" s="78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ht="12.0" customHeight="1">
      <c r="A153" s="10"/>
      <c r="B153" s="10"/>
      <c r="C153" s="78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ht="12.0" customHeight="1">
      <c r="A154" s="10"/>
      <c r="B154" s="10"/>
      <c r="C154" s="7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ht="12.0" customHeight="1">
      <c r="A155" s="10"/>
      <c r="B155" s="10"/>
      <c r="C155" s="78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ht="12.0" customHeight="1">
      <c r="A156" s="10"/>
      <c r="B156" s="10"/>
      <c r="C156" s="78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ht="12.0" customHeight="1">
      <c r="A157" s="10"/>
      <c r="B157" s="10"/>
      <c r="C157" s="78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ht="12.0" customHeight="1">
      <c r="A158" s="10"/>
      <c r="B158" s="10"/>
      <c r="C158" s="78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ht="12.0" customHeight="1">
      <c r="A159" s="10"/>
      <c r="B159" s="10"/>
      <c r="C159" s="78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ht="12.0" customHeight="1">
      <c r="A160" s="10"/>
      <c r="B160" s="10"/>
      <c r="C160" s="78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ht="12.0" customHeight="1">
      <c r="A161" s="10"/>
      <c r="B161" s="10"/>
      <c r="C161" s="78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ht="12.0" customHeight="1">
      <c r="A162" s="10"/>
      <c r="B162" s="10"/>
      <c r="C162" s="78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ht="12.0" customHeight="1">
      <c r="A163" s="10"/>
      <c r="B163" s="10"/>
      <c r="C163" s="78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ht="12.0" customHeight="1">
      <c r="A164" s="10"/>
      <c r="B164" s="10"/>
      <c r="C164" s="78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ht="12.0" customHeight="1">
      <c r="A165" s="10"/>
      <c r="B165" s="10"/>
      <c r="C165" s="78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ht="12.0" customHeight="1">
      <c r="A166" s="10"/>
      <c r="B166" s="10"/>
      <c r="C166" s="78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ht="12.0" customHeight="1">
      <c r="A167" s="10"/>
      <c r="B167" s="10"/>
      <c r="C167" s="78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ht="12.0" customHeight="1">
      <c r="A168" s="10"/>
      <c r="B168" s="10"/>
      <c r="C168" s="78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ht="12.0" customHeight="1">
      <c r="A169" s="10"/>
      <c r="B169" s="10"/>
      <c r="C169" s="78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ht="12.0" customHeight="1">
      <c r="A170" s="10"/>
      <c r="B170" s="10"/>
      <c r="C170" s="78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ht="12.0" customHeight="1">
      <c r="A171" s="10"/>
      <c r="B171" s="10"/>
      <c r="C171" s="78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ht="12.0" customHeight="1">
      <c r="A172" s="10"/>
      <c r="B172" s="10"/>
      <c r="C172" s="78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ht="12.0" customHeight="1">
      <c r="A173" s="10"/>
      <c r="B173" s="10"/>
      <c r="C173" s="78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ht="12.0" customHeight="1">
      <c r="A174" s="10"/>
      <c r="B174" s="10"/>
      <c r="C174" s="78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ht="12.0" customHeight="1">
      <c r="A175" s="10"/>
      <c r="B175" s="10"/>
      <c r="C175" s="78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ht="12.0" customHeight="1">
      <c r="A176" s="10"/>
      <c r="B176" s="10"/>
      <c r="C176" s="78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ht="12.0" customHeight="1">
      <c r="A177" s="10"/>
      <c r="B177" s="10"/>
      <c r="C177" s="78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ht="12.0" customHeight="1">
      <c r="A178" s="10"/>
      <c r="B178" s="10"/>
      <c r="C178" s="78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ht="12.0" customHeight="1">
      <c r="A179" s="10"/>
      <c r="B179" s="10"/>
      <c r="C179" s="78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ht="12.0" customHeight="1">
      <c r="A180" s="10"/>
      <c r="B180" s="10"/>
      <c r="C180" s="78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ht="12.0" customHeight="1">
      <c r="A181" s="10"/>
      <c r="B181" s="10"/>
      <c r="C181" s="78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ht="12.0" customHeight="1">
      <c r="A182" s="10"/>
      <c r="B182" s="10"/>
      <c r="C182" s="78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ht="12.0" customHeight="1">
      <c r="A183" s="10"/>
      <c r="B183" s="10"/>
      <c r="C183" s="78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ht="12.0" customHeight="1">
      <c r="A184" s="10"/>
      <c r="B184" s="10"/>
      <c r="C184" s="78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ht="12.0" customHeight="1">
      <c r="A185" s="10"/>
      <c r="B185" s="10"/>
      <c r="C185" s="78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ht="12.0" customHeight="1">
      <c r="A186" s="10"/>
      <c r="B186" s="10"/>
      <c r="C186" s="7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ht="12.0" customHeight="1">
      <c r="A187" s="10"/>
      <c r="B187" s="10"/>
      <c r="C187" s="78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ht="12.0" customHeight="1">
      <c r="A188" s="10"/>
      <c r="B188" s="10"/>
      <c r="C188" s="78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ht="12.0" customHeight="1">
      <c r="A189" s="10"/>
      <c r="B189" s="10"/>
      <c r="C189" s="78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ht="12.0" customHeight="1">
      <c r="A190" s="10"/>
      <c r="B190" s="10"/>
      <c r="C190" s="78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ht="12.0" customHeight="1">
      <c r="A191" s="10"/>
      <c r="B191" s="10"/>
      <c r="C191" s="78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ht="12.0" customHeight="1">
      <c r="A192" s="10"/>
      <c r="B192" s="10"/>
      <c r="C192" s="78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ht="12.0" customHeight="1">
      <c r="A193" s="10"/>
      <c r="B193" s="10"/>
      <c r="C193" s="7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ht="12.0" customHeight="1">
      <c r="A194" s="10"/>
      <c r="B194" s="10"/>
      <c r="C194" s="78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ht="12.0" customHeight="1">
      <c r="A195" s="10"/>
      <c r="B195" s="10"/>
      <c r="C195" s="78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ht="12.0" customHeight="1">
      <c r="A196" s="10"/>
      <c r="B196" s="10"/>
      <c r="C196" s="78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ht="12.0" customHeight="1">
      <c r="A197" s="10"/>
      <c r="B197" s="10"/>
      <c r="C197" s="78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ht="12.0" customHeight="1">
      <c r="A198" s="10"/>
      <c r="B198" s="10"/>
      <c r="C198" s="78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ht="12.0" customHeight="1">
      <c r="A199" s="10"/>
      <c r="B199" s="10"/>
      <c r="C199" s="78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ht="12.0" customHeight="1">
      <c r="A200" s="10"/>
      <c r="B200" s="10"/>
      <c r="C200" s="78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ht="12.0" customHeight="1">
      <c r="A201" s="10"/>
      <c r="B201" s="10"/>
      <c r="C201" s="78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ht="12.0" customHeight="1">
      <c r="A202" s="10"/>
      <c r="B202" s="10"/>
      <c r="C202" s="7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ht="12.0" customHeight="1">
      <c r="A203" s="10"/>
      <c r="B203" s="10"/>
      <c r="C203" s="7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ht="12.0" customHeight="1">
      <c r="A204" s="10"/>
      <c r="B204" s="10"/>
      <c r="C204" s="78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ht="12.0" customHeight="1">
      <c r="A205" s="10"/>
      <c r="B205" s="10"/>
      <c r="C205" s="7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ht="12.0" customHeight="1">
      <c r="A206" s="10"/>
      <c r="B206" s="10"/>
      <c r="C206" s="78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ht="12.0" customHeight="1">
      <c r="A207" s="10"/>
      <c r="B207" s="10"/>
      <c r="C207" s="78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ht="12.0" customHeight="1">
      <c r="A208" s="10"/>
      <c r="B208" s="10"/>
      <c r="C208" s="78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ht="12.0" customHeight="1">
      <c r="A209" s="10"/>
      <c r="B209" s="10"/>
      <c r="C209" s="7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ht="12.0" customHeight="1">
      <c r="A210" s="10"/>
      <c r="B210" s="10"/>
      <c r="C210" s="78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ht="12.0" customHeight="1">
      <c r="A211" s="10"/>
      <c r="B211" s="10"/>
      <c r="C211" s="78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ht="12.0" customHeight="1">
      <c r="A212" s="10"/>
      <c r="B212" s="10"/>
      <c r="C212" s="78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ht="12.0" customHeight="1">
      <c r="A213" s="10"/>
      <c r="B213" s="10"/>
      <c r="C213" s="78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ht="12.0" customHeight="1">
      <c r="A214" s="10"/>
      <c r="B214" s="10"/>
      <c r="C214" s="7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ht="12.0" customHeight="1">
      <c r="A215" s="10"/>
      <c r="B215" s="10"/>
      <c r="C215" s="7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ht="12.0" customHeight="1">
      <c r="A216" s="10"/>
      <c r="B216" s="10"/>
      <c r="C216" s="78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ht="12.0" customHeight="1">
      <c r="A217" s="10"/>
      <c r="B217" s="10"/>
      <c r="C217" s="7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ht="12.0" customHeight="1">
      <c r="A218" s="10"/>
      <c r="B218" s="10"/>
      <c r="C218" s="78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ht="12.0" customHeight="1">
      <c r="A219" s="10"/>
      <c r="B219" s="10"/>
      <c r="C219" s="78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ht="12.0" customHeight="1">
      <c r="A220" s="10"/>
      <c r="B220" s="10"/>
      <c r="C220" s="78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ht="12.0" customHeight="1">
      <c r="A221" s="10"/>
      <c r="B221" s="10"/>
      <c r="C221" s="7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ht="12.0" customHeight="1">
      <c r="A222" s="10"/>
      <c r="B222" s="10"/>
      <c r="C222" s="78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ht="12.0" customHeight="1">
      <c r="A223" s="10"/>
      <c r="B223" s="10"/>
      <c r="C223" s="78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ht="12.0" customHeight="1">
      <c r="A224" s="10"/>
      <c r="B224" s="10"/>
      <c r="C224" s="78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ht="12.0" customHeight="1">
      <c r="A225" s="10"/>
      <c r="B225" s="10"/>
      <c r="C225" s="78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ht="12.0" customHeight="1">
      <c r="A226" s="10"/>
      <c r="B226" s="10"/>
      <c r="C226" s="78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ht="12.0" customHeight="1">
      <c r="A227" s="10"/>
      <c r="B227" s="10"/>
      <c r="C227" s="78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ht="12.0" customHeight="1">
      <c r="A228" s="10"/>
      <c r="B228" s="10"/>
      <c r="C228" s="78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ht="12.0" customHeight="1">
      <c r="A229" s="10"/>
      <c r="B229" s="10"/>
      <c r="C229" s="78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ht="12.0" customHeight="1">
      <c r="A230" s="10"/>
      <c r="B230" s="10"/>
      <c r="C230" s="78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ht="12.0" customHeight="1">
      <c r="A231" s="10"/>
      <c r="B231" s="10"/>
      <c r="C231" s="78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ht="12.0" customHeight="1">
      <c r="A232" s="10"/>
      <c r="B232" s="10"/>
      <c r="C232" s="7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ht="12.0" customHeight="1">
      <c r="A233" s="10"/>
      <c r="B233" s="10"/>
      <c r="C233" s="7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ht="12.0" customHeight="1">
      <c r="A234" s="10"/>
      <c r="B234" s="10"/>
      <c r="C234" s="78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ht="12.0" customHeight="1">
      <c r="A235" s="10"/>
      <c r="B235" s="10"/>
      <c r="C235" s="78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ht="12.0" customHeight="1">
      <c r="A236" s="10"/>
      <c r="B236" s="10"/>
      <c r="C236" s="78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ht="12.0" customHeight="1">
      <c r="A237" s="10"/>
      <c r="B237" s="10"/>
      <c r="C237" s="78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ht="12.0" customHeight="1">
      <c r="A238" s="10"/>
      <c r="B238" s="10"/>
      <c r="C238" s="7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ht="12.0" customHeight="1">
      <c r="A239" s="10"/>
      <c r="B239" s="10"/>
      <c r="C239" s="78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ht="12.0" customHeight="1">
      <c r="A240" s="10"/>
      <c r="B240" s="10"/>
      <c r="C240" s="78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ht="12.0" customHeight="1">
      <c r="A241" s="10"/>
      <c r="B241" s="10"/>
      <c r="C241" s="78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ht="12.0" customHeight="1">
      <c r="A242" s="10"/>
      <c r="B242" s="10"/>
      <c r="C242" s="78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ht="12.0" customHeight="1">
      <c r="A243" s="10"/>
      <c r="B243" s="10"/>
      <c r="C243" s="78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ht="12.0" customHeight="1">
      <c r="A244" s="10"/>
      <c r="B244" s="10"/>
      <c r="C244" s="78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ht="12.0" customHeight="1">
      <c r="A245" s="10"/>
      <c r="B245" s="10"/>
      <c r="C245" s="78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ht="12.0" customHeight="1">
      <c r="A246" s="10"/>
      <c r="B246" s="10"/>
      <c r="C246" s="78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ht="12.0" customHeight="1">
      <c r="A247" s="10"/>
      <c r="B247" s="10"/>
      <c r="C247" s="78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ht="12.0" customHeight="1">
      <c r="A248" s="10"/>
      <c r="B248" s="10"/>
      <c r="C248" s="78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ht="12.0" customHeight="1">
      <c r="A249" s="10"/>
      <c r="B249" s="10"/>
      <c r="C249" s="78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ht="12.0" customHeight="1">
      <c r="A250" s="10"/>
      <c r="B250" s="10"/>
      <c r="C250" s="78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ht="12.0" customHeight="1">
      <c r="A251" s="10"/>
      <c r="B251" s="10"/>
      <c r="C251" s="78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ht="12.0" customHeight="1">
      <c r="A252" s="10"/>
      <c r="B252" s="10"/>
      <c r="C252" s="78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ht="12.0" customHeight="1">
      <c r="A253" s="10"/>
      <c r="B253" s="10"/>
      <c r="C253" s="78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ht="12.0" customHeight="1">
      <c r="A254" s="10"/>
      <c r="B254" s="10"/>
      <c r="C254" s="78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ht="12.0" customHeight="1">
      <c r="A255" s="10"/>
      <c r="B255" s="10"/>
      <c r="C255" s="78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ht="12.0" customHeight="1">
      <c r="A256" s="10"/>
      <c r="B256" s="10"/>
      <c r="C256" s="78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ht="12.0" customHeight="1">
      <c r="A257" s="10"/>
      <c r="B257" s="10"/>
      <c r="C257" s="78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ht="12.0" customHeight="1">
      <c r="A258" s="10"/>
      <c r="B258" s="10"/>
      <c r="C258" s="78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ht="12.0" customHeight="1">
      <c r="A259" s="10"/>
      <c r="B259" s="10"/>
      <c r="C259" s="78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ht="12.0" customHeight="1">
      <c r="A260" s="10"/>
      <c r="B260" s="10"/>
      <c r="C260" s="78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ht="12.0" customHeight="1">
      <c r="A261" s="10"/>
      <c r="B261" s="10"/>
      <c r="C261" s="78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ht="12.0" customHeight="1">
      <c r="A262" s="10"/>
      <c r="B262" s="10"/>
      <c r="C262" s="78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ht="12.0" customHeight="1">
      <c r="A263" s="10"/>
      <c r="B263" s="10"/>
      <c r="C263" s="78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ht="12.0" customHeight="1">
      <c r="A264" s="10"/>
      <c r="B264" s="10"/>
      <c r="C264" s="78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ht="12.0" customHeight="1">
      <c r="A265" s="10"/>
      <c r="B265" s="10"/>
      <c r="C265" s="78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ht="12.0" customHeight="1">
      <c r="A266" s="10"/>
      <c r="B266" s="10"/>
      <c r="C266" s="78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ht="12.0" customHeight="1">
      <c r="A267" s="10"/>
      <c r="B267" s="10"/>
      <c r="C267" s="78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ht="12.0" customHeight="1">
      <c r="A268" s="10"/>
      <c r="B268" s="10"/>
      <c r="C268" s="78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ht="12.0" customHeight="1">
      <c r="A269" s="10"/>
      <c r="B269" s="10"/>
      <c r="C269" s="78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ht="12.0" customHeight="1">
      <c r="A270" s="10"/>
      <c r="B270" s="10"/>
      <c r="C270" s="78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ht="12.0" customHeight="1">
      <c r="A271" s="10"/>
      <c r="B271" s="10"/>
      <c r="C271" s="78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ht="12.0" customHeight="1">
      <c r="A272" s="10"/>
      <c r="B272" s="10"/>
      <c r="C272" s="78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ht="12.0" customHeight="1">
      <c r="A273" s="10"/>
      <c r="B273" s="10"/>
      <c r="C273" s="78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ht="12.0" customHeight="1">
      <c r="A274" s="10"/>
      <c r="B274" s="10"/>
      <c r="C274" s="78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ht="12.0" customHeight="1">
      <c r="A275" s="10"/>
      <c r="B275" s="10"/>
      <c r="C275" s="78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ht="12.0" customHeight="1">
      <c r="A276" s="10"/>
      <c r="B276" s="10"/>
      <c r="C276" s="78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ht="12.0" customHeight="1">
      <c r="A277" s="10"/>
      <c r="B277" s="10"/>
      <c r="C277" s="78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ht="12.0" customHeight="1">
      <c r="A278" s="10"/>
      <c r="B278" s="10"/>
      <c r="C278" s="78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ht="12.0" customHeight="1">
      <c r="A279" s="10"/>
      <c r="B279" s="10"/>
      <c r="C279" s="78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ht="12.0" customHeight="1">
      <c r="A280" s="10"/>
      <c r="B280" s="10"/>
      <c r="C280" s="78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ht="12.0" customHeight="1">
      <c r="A281" s="10"/>
      <c r="B281" s="10"/>
      <c r="C281" s="78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ht="12.0" customHeight="1">
      <c r="A282" s="10"/>
      <c r="B282" s="10"/>
      <c r="C282" s="78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ht="12.0" customHeight="1">
      <c r="A283" s="10"/>
      <c r="B283" s="10"/>
      <c r="C283" s="78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ht="12.0" customHeight="1">
      <c r="A284" s="10"/>
      <c r="B284" s="10"/>
      <c r="C284" s="78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ht="12.0" customHeight="1">
      <c r="A285" s="10"/>
      <c r="B285" s="10"/>
      <c r="C285" s="78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ht="12.0" customHeight="1">
      <c r="A286" s="10"/>
      <c r="B286" s="10"/>
      <c r="C286" s="78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ht="12.0" customHeight="1">
      <c r="A287" s="10"/>
      <c r="B287" s="10"/>
      <c r="C287" s="78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ht="12.0" customHeight="1">
      <c r="A288" s="10"/>
      <c r="B288" s="10"/>
      <c r="C288" s="78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ht="12.0" customHeight="1">
      <c r="A289" s="10"/>
      <c r="B289" s="10"/>
      <c r="C289" s="78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ht="12.0" customHeight="1">
      <c r="A290" s="10"/>
      <c r="B290" s="10"/>
      <c r="C290" s="78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ht="12.0" customHeight="1">
      <c r="A291" s="10"/>
      <c r="B291" s="10"/>
      <c r="C291" s="78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ht="12.0" customHeight="1">
      <c r="A292" s="10"/>
      <c r="B292" s="10"/>
      <c r="C292" s="78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ht="12.0" customHeight="1">
      <c r="A293" s="10"/>
      <c r="B293" s="10"/>
      <c r="C293" s="78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ht="12.0" customHeight="1">
      <c r="A294" s="10"/>
      <c r="B294" s="10"/>
      <c r="C294" s="78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ht="12.0" customHeight="1">
      <c r="A295" s="10"/>
      <c r="B295" s="10"/>
      <c r="C295" s="78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ht="12.0" customHeight="1">
      <c r="A296" s="10"/>
      <c r="B296" s="10"/>
      <c r="C296" s="78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ht="12.0" customHeight="1">
      <c r="A297" s="10"/>
      <c r="B297" s="10"/>
      <c r="C297" s="78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0.75"/>
    <col customWidth="1" min="2" max="2" width="6.0"/>
    <col customWidth="1" min="3" max="3" width="20.25"/>
    <col customWidth="1" min="4" max="4" width="20.38"/>
    <col customWidth="1" min="5" max="5" width="21.0"/>
    <col customWidth="1" hidden="1" min="6" max="6" width="4.0"/>
    <col customWidth="1" hidden="1" min="7" max="7" width="23.75"/>
    <col customWidth="1" hidden="1" min="8" max="9" width="17.75"/>
    <col customWidth="1" hidden="1" min="10" max="10" width="0.38"/>
    <col customWidth="1" hidden="1" min="11" max="11" width="17.75"/>
    <col customWidth="1" min="12" max="12" width="1.75"/>
    <col customWidth="1" min="13" max="13" width="21.25"/>
    <col customWidth="1" min="14" max="14" width="24.63"/>
    <col customWidth="1" min="15" max="15" width="15.13"/>
    <col customWidth="1" min="16" max="26" width="10.0"/>
  </cols>
  <sheetData>
    <row r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0</v>
      </c>
      <c r="B2" s="6"/>
      <c r="C2" s="79" t="s">
        <v>100</v>
      </c>
      <c r="D2" s="99" t="s">
        <v>2</v>
      </c>
      <c r="E2" s="9" t="s">
        <v>3</v>
      </c>
      <c r="F2" s="10"/>
      <c r="G2" s="10" t="s">
        <v>101</v>
      </c>
      <c r="H2" s="10" t="s">
        <v>102</v>
      </c>
      <c r="I2" s="10" t="s">
        <v>103</v>
      </c>
      <c r="J2" s="10"/>
      <c r="K2" s="10" t="s">
        <v>104</v>
      </c>
      <c r="L2" s="10"/>
      <c r="M2" s="4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2.75" customHeight="1">
      <c r="A3" s="13" t="s">
        <v>5</v>
      </c>
      <c r="B3" s="14"/>
      <c r="C3" s="15"/>
      <c r="D3" s="16"/>
      <c r="E3" s="17"/>
      <c r="F3" s="100"/>
      <c r="G3" s="10"/>
      <c r="H3" s="10"/>
      <c r="I3" s="10"/>
      <c r="J3" s="10"/>
      <c r="K3" s="101"/>
      <c r="L3" s="10"/>
      <c r="M3" s="49"/>
      <c r="N3" s="102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2.0" customHeight="1">
      <c r="A4" s="18" t="s">
        <v>6</v>
      </c>
      <c r="B4" s="14"/>
      <c r="C4" s="22">
        <v>9048.970000000001</v>
      </c>
      <c r="D4" s="81">
        <v>9048.97</v>
      </c>
      <c r="E4" s="21"/>
      <c r="F4" s="70"/>
      <c r="G4" s="101"/>
      <c r="H4" s="101"/>
      <c r="I4" s="101"/>
      <c r="J4" s="10"/>
      <c r="K4" s="101"/>
      <c r="L4" s="10"/>
      <c r="M4" s="4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2.0" customHeight="1">
      <c r="A5" s="18" t="s">
        <v>7</v>
      </c>
      <c r="B5" s="14"/>
      <c r="C5" s="22">
        <v>100.0</v>
      </c>
      <c r="D5" s="23">
        <v>52.8</v>
      </c>
      <c r="E5" s="24">
        <f t="shared" ref="E5:E20" si="1">(D5-C5)</f>
        <v>-47.2</v>
      </c>
      <c r="F5" s="70"/>
      <c r="G5" s="101"/>
      <c r="H5" s="103"/>
      <c r="I5" s="103"/>
      <c r="J5" s="10"/>
      <c r="K5" s="101"/>
      <c r="L5" s="10"/>
      <c r="M5" s="49"/>
      <c r="N5" s="49"/>
      <c r="O5" s="4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2.0" customHeight="1">
      <c r="A6" s="18" t="s">
        <v>8</v>
      </c>
      <c r="B6" s="14"/>
      <c r="C6" s="82">
        <v>20000.0</v>
      </c>
      <c r="D6" s="83">
        <v>23290.0</v>
      </c>
      <c r="E6" s="24">
        <f t="shared" si="1"/>
        <v>3290</v>
      </c>
      <c r="F6" s="70"/>
      <c r="G6" s="104"/>
      <c r="H6" s="104"/>
      <c r="I6" s="105"/>
      <c r="J6" s="10"/>
      <c r="K6" s="104"/>
      <c r="L6" s="26"/>
      <c r="M6" s="33"/>
      <c r="N6" s="33"/>
      <c r="O6" s="33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12.0" customHeight="1">
      <c r="A7" s="18" t="s">
        <v>10</v>
      </c>
      <c r="B7" s="14"/>
      <c r="C7" s="31">
        <v>1500.0</v>
      </c>
      <c r="D7" s="23">
        <f>85+300+75+165.07 +85</f>
        <v>710.07</v>
      </c>
      <c r="E7" s="24">
        <f t="shared" si="1"/>
        <v>-789.93</v>
      </c>
      <c r="F7" s="70"/>
      <c r="G7" s="104"/>
      <c r="H7" s="104"/>
      <c r="I7" s="105"/>
      <c r="J7" s="10"/>
      <c r="K7" s="104"/>
      <c r="L7" s="26"/>
      <c r="M7" s="106"/>
      <c r="N7" s="33"/>
      <c r="O7" s="33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12.0" customHeight="1">
      <c r="A8" s="18" t="s">
        <v>11</v>
      </c>
      <c r="B8" s="14"/>
      <c r="C8" s="31">
        <v>800.0</v>
      </c>
      <c r="D8" s="56">
        <f>465.83+ 468.9+241</f>
        <v>1175.73</v>
      </c>
      <c r="E8" s="24">
        <f t="shared" si="1"/>
        <v>375.73</v>
      </c>
      <c r="F8" s="70"/>
      <c r="G8" s="105"/>
      <c r="H8" s="26"/>
      <c r="I8" s="26"/>
      <c r="J8" s="10"/>
      <c r="K8" s="26"/>
      <c r="L8" s="26"/>
      <c r="M8" s="3"/>
      <c r="N8" s="107"/>
      <c r="O8" s="33"/>
      <c r="P8" s="33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2.0" customHeight="1">
      <c r="A9" s="18" t="s">
        <v>12</v>
      </c>
      <c r="B9" s="14"/>
      <c r="C9" s="31">
        <v>250.0</v>
      </c>
      <c r="D9" s="56">
        <f>45.6+57.83+66.71+68.99</f>
        <v>239.13</v>
      </c>
      <c r="E9" s="24">
        <f t="shared" si="1"/>
        <v>-10.87</v>
      </c>
      <c r="F9" s="70"/>
      <c r="G9" s="105"/>
      <c r="H9" s="26"/>
      <c r="I9" s="26"/>
      <c r="J9" s="10"/>
      <c r="K9" s="26"/>
      <c r="L9" s="26"/>
      <c r="M9" s="106"/>
      <c r="N9" s="33"/>
      <c r="O9" s="33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2.0" customHeight="1">
      <c r="A10" s="18" t="s">
        <v>86</v>
      </c>
      <c r="B10" s="14"/>
      <c r="C10" s="31">
        <v>300.0</v>
      </c>
      <c r="D10" s="23">
        <f>70.98+121.3+113.86</f>
        <v>306.14</v>
      </c>
      <c r="E10" s="24">
        <f t="shared" si="1"/>
        <v>6.14</v>
      </c>
      <c r="F10" s="70"/>
      <c r="G10" s="104"/>
      <c r="H10" s="104"/>
      <c r="I10" s="105"/>
      <c r="J10" s="10"/>
      <c r="K10" s="104"/>
      <c r="L10" s="26"/>
      <c r="M10" s="108"/>
      <c r="N10" s="109"/>
      <c r="O10" s="33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2.0" customHeight="1">
      <c r="A11" s="18" t="s">
        <v>13</v>
      </c>
      <c r="B11" s="14"/>
      <c r="C11" s="31">
        <v>400.0</v>
      </c>
      <c r="D11" s="23">
        <v>439.0</v>
      </c>
      <c r="E11" s="24">
        <f t="shared" si="1"/>
        <v>39</v>
      </c>
      <c r="F11" s="70"/>
      <c r="G11" s="104"/>
      <c r="H11" s="104"/>
      <c r="I11" s="105"/>
      <c r="J11" s="10"/>
      <c r="K11" s="104"/>
      <c r="L11" s="26"/>
      <c r="M11" s="108"/>
      <c r="N11" s="110"/>
      <c r="O11" s="3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2.0" customHeight="1">
      <c r="A12" s="18" t="s">
        <v>14</v>
      </c>
      <c r="B12" s="14"/>
      <c r="C12" s="22">
        <v>300.0</v>
      </c>
      <c r="D12" s="23">
        <f>138+60+271+215.08+162</f>
        <v>846.08</v>
      </c>
      <c r="E12" s="24">
        <f t="shared" si="1"/>
        <v>546.08</v>
      </c>
      <c r="F12" s="70"/>
      <c r="G12" s="26"/>
      <c r="H12" s="26"/>
      <c r="I12" s="26"/>
      <c r="J12" s="10"/>
      <c r="K12" s="104"/>
      <c r="L12" s="26"/>
      <c r="M12" s="106"/>
      <c r="N12" s="111"/>
      <c r="O12" s="33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2.0" customHeight="1">
      <c r="A13" s="18" t="s">
        <v>105</v>
      </c>
      <c r="B13" s="14"/>
      <c r="C13" s="22">
        <v>3600.0</v>
      </c>
      <c r="D13" s="23">
        <f>1988+1636</f>
        <v>3624</v>
      </c>
      <c r="E13" s="24">
        <f t="shared" si="1"/>
        <v>24</v>
      </c>
      <c r="F13" s="70"/>
      <c r="G13" s="26"/>
      <c r="H13" s="26"/>
      <c r="I13" s="26"/>
      <c r="J13" s="10"/>
      <c r="K13" s="26"/>
      <c r="L13" s="26"/>
      <c r="M13" s="112"/>
      <c r="N13" s="33"/>
      <c r="O13" s="3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2.0" customHeight="1">
      <c r="A14" s="18" t="s">
        <v>106</v>
      </c>
      <c r="B14" s="14"/>
      <c r="C14" s="22">
        <v>1000.0</v>
      </c>
      <c r="D14" s="23"/>
      <c r="E14" s="24">
        <f t="shared" si="1"/>
        <v>-1000</v>
      </c>
      <c r="F14" s="70"/>
      <c r="G14" s="26"/>
      <c r="H14" s="26"/>
      <c r="I14" s="26"/>
      <c r="J14" s="10"/>
      <c r="K14" s="26"/>
      <c r="L14" s="26"/>
      <c r="M14" s="112"/>
      <c r="N14" s="33"/>
      <c r="O14" s="3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2.0" customHeight="1">
      <c r="A15" s="18" t="s">
        <v>107</v>
      </c>
      <c r="B15" s="14"/>
      <c r="C15" s="22">
        <v>350.0</v>
      </c>
      <c r="D15" s="23">
        <v>330.0</v>
      </c>
      <c r="E15" s="24">
        <f t="shared" si="1"/>
        <v>-20</v>
      </c>
      <c r="F15" s="70"/>
      <c r="G15" s="104"/>
      <c r="H15" s="105"/>
      <c r="I15" s="105"/>
      <c r="J15" s="10"/>
      <c r="K15" s="104"/>
      <c r="L15" s="26"/>
      <c r="M15" s="33"/>
      <c r="N15" s="112"/>
      <c r="O15" s="33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2.0" customHeight="1">
      <c r="A16" s="18" t="s">
        <v>88</v>
      </c>
      <c r="B16" s="14"/>
      <c r="C16" s="22">
        <v>1000.0</v>
      </c>
      <c r="D16" s="23"/>
      <c r="E16" s="24">
        <f t="shared" si="1"/>
        <v>-1000</v>
      </c>
      <c r="F16" s="70"/>
      <c r="G16" s="104"/>
      <c r="H16" s="105"/>
      <c r="I16" s="105"/>
      <c r="J16" s="10"/>
      <c r="K16" s="104"/>
      <c r="L16" s="26"/>
      <c r="M16" s="33"/>
      <c r="N16" s="112"/>
      <c r="O16" s="33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2.0" customHeight="1">
      <c r="A17" s="18" t="s">
        <v>19</v>
      </c>
      <c r="B17" s="14"/>
      <c r="C17" s="22">
        <v>1000.0</v>
      </c>
      <c r="D17" s="113">
        <v>1565.0</v>
      </c>
      <c r="E17" s="114">
        <f t="shared" si="1"/>
        <v>565</v>
      </c>
      <c r="F17" s="70"/>
      <c r="G17" s="104"/>
      <c r="H17" s="105"/>
      <c r="I17" s="105"/>
      <c r="J17" s="10"/>
      <c r="K17" s="104"/>
      <c r="L17" s="26"/>
      <c r="M17" s="115">
        <f>1565-1113.75</f>
        <v>451.25</v>
      </c>
      <c r="N17" s="116" t="s">
        <v>108</v>
      </c>
      <c r="O17" s="33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2.0" customHeight="1">
      <c r="A18" s="18" t="s">
        <v>20</v>
      </c>
      <c r="B18" s="14"/>
      <c r="C18" s="22">
        <v>1000.0</v>
      </c>
      <c r="D18" s="34"/>
      <c r="E18" s="24">
        <f t="shared" si="1"/>
        <v>-1000</v>
      </c>
      <c r="F18" s="70"/>
      <c r="G18" s="104"/>
      <c r="H18" s="105"/>
      <c r="I18" s="105"/>
      <c r="J18" s="10"/>
      <c r="K18" s="104"/>
      <c r="L18" s="26"/>
      <c r="M18" s="26"/>
      <c r="N18" s="117"/>
      <c r="O18" s="118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12.0" customHeight="1">
      <c r="A19" s="18" t="s">
        <v>21</v>
      </c>
      <c r="B19" s="14"/>
      <c r="C19" s="22">
        <v>2.0</v>
      </c>
      <c r="D19" s="23">
        <f>0.35+0.42+0.44+0.03+0.1</f>
        <v>1.34</v>
      </c>
      <c r="E19" s="24">
        <f t="shared" si="1"/>
        <v>-0.66</v>
      </c>
      <c r="F19" s="70"/>
      <c r="G19" s="26"/>
      <c r="H19" s="104"/>
      <c r="I19" s="26"/>
      <c r="J19" s="10"/>
      <c r="K19" s="104"/>
      <c r="L19" s="26"/>
      <c r="M19" s="33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2.0" customHeight="1">
      <c r="A20" s="35" t="s">
        <v>22</v>
      </c>
      <c r="B20" s="36"/>
      <c r="C20" s="37">
        <f t="shared" ref="C20:D20" si="2">SUM(C4:C19)</f>
        <v>40650.97</v>
      </c>
      <c r="D20" s="119">
        <f t="shared" si="2"/>
        <v>41628.26</v>
      </c>
      <c r="E20" s="120">
        <f t="shared" si="1"/>
        <v>977.29</v>
      </c>
      <c r="F20" s="121"/>
      <c r="G20" s="122">
        <f t="shared" ref="G20:K20" si="3">SUM(G4:G15)</f>
        <v>0</v>
      </c>
      <c r="H20" s="122">
        <f t="shared" si="3"/>
        <v>0</v>
      </c>
      <c r="I20" s="122">
        <f t="shared" si="3"/>
        <v>0</v>
      </c>
      <c r="J20" s="122">
        <f t="shared" si="3"/>
        <v>0</v>
      </c>
      <c r="K20" s="122">
        <f t="shared" si="3"/>
        <v>0</v>
      </c>
      <c r="L20" s="10"/>
      <c r="M20" s="106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1.25" customHeight="1">
      <c r="A21" s="86" t="s">
        <v>24</v>
      </c>
      <c r="B21" s="14"/>
      <c r="C21" s="22"/>
      <c r="D21" s="23"/>
      <c r="E21" s="21">
        <f>C21-D21</f>
        <v>0</v>
      </c>
      <c r="F21" s="70"/>
      <c r="G21" s="10"/>
      <c r="H21" s="10"/>
      <c r="I21" s="10"/>
      <c r="J21" s="10"/>
      <c r="K21" s="10"/>
      <c r="L21" s="10"/>
      <c r="M21" s="12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2.0" customHeight="1">
      <c r="A22" s="41" t="s">
        <v>25</v>
      </c>
      <c r="B22" s="14"/>
      <c r="C22" s="22"/>
      <c r="D22" s="23"/>
      <c r="E22" s="21"/>
      <c r="F22" s="70"/>
      <c r="G22" s="10"/>
      <c r="H22" s="10"/>
      <c r="I22" s="10"/>
      <c r="J22" s="10"/>
      <c r="K22" s="101"/>
      <c r="L22" s="10"/>
      <c r="M22" s="10"/>
      <c r="N22" s="7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2.0" customHeight="1">
      <c r="A23" s="18" t="s">
        <v>26</v>
      </c>
      <c r="B23" s="14"/>
      <c r="C23" s="22">
        <v>150.0</v>
      </c>
      <c r="D23" s="23">
        <v>496.05</v>
      </c>
      <c r="E23" s="21">
        <f t="shared" ref="E23:E46" si="4">C23-D23</f>
        <v>-346.05</v>
      </c>
      <c r="F23" s="70"/>
      <c r="G23" s="101"/>
      <c r="H23" s="101"/>
      <c r="I23" s="101"/>
      <c r="J23" s="10"/>
      <c r="K23" s="101"/>
      <c r="L23" s="10"/>
      <c r="M23" s="42"/>
      <c r="N23" s="124"/>
      <c r="O23" s="4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2.0" customHeight="1">
      <c r="A24" s="18" t="s">
        <v>27</v>
      </c>
      <c r="B24" s="14"/>
      <c r="C24" s="22">
        <v>1000.0</v>
      </c>
      <c r="D24" s="23">
        <v>0.0</v>
      </c>
      <c r="E24" s="21">
        <f t="shared" si="4"/>
        <v>1000</v>
      </c>
      <c r="F24" s="70"/>
      <c r="G24" s="101"/>
      <c r="H24" s="103"/>
      <c r="I24" s="103"/>
      <c r="J24" s="10"/>
      <c r="K24" s="101"/>
      <c r="L24" s="10"/>
      <c r="M24" s="42" t="s">
        <v>23</v>
      </c>
      <c r="N24" s="42"/>
      <c r="O24" s="4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2.0" customHeight="1">
      <c r="A25" s="18" t="s">
        <v>28</v>
      </c>
      <c r="B25" s="14"/>
      <c r="C25" s="31">
        <v>1500.0</v>
      </c>
      <c r="D25" s="23">
        <f>1162.5+82.29+342.12</f>
        <v>1586.91</v>
      </c>
      <c r="E25" s="21">
        <f t="shared" si="4"/>
        <v>-86.91</v>
      </c>
      <c r="F25" s="70"/>
      <c r="G25" s="10"/>
      <c r="H25" s="10"/>
      <c r="I25" s="10"/>
      <c r="J25" s="10"/>
      <c r="K25" s="10"/>
      <c r="L25" s="10"/>
      <c r="M25" s="42"/>
      <c r="N25" s="42"/>
      <c r="O25" s="4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2.0" customHeight="1">
      <c r="A26" s="18" t="s">
        <v>29</v>
      </c>
      <c r="B26" s="14"/>
      <c r="C26" s="22">
        <v>2500.0</v>
      </c>
      <c r="D26" s="23">
        <f>449.75+296.35+153.44+224.4+180.7</f>
        <v>1304.64</v>
      </c>
      <c r="E26" s="21">
        <f t="shared" si="4"/>
        <v>1195.36</v>
      </c>
      <c r="F26" s="70"/>
      <c r="G26" s="101"/>
      <c r="H26" s="103"/>
      <c r="I26" s="103"/>
      <c r="J26" s="10"/>
      <c r="K26" s="101"/>
      <c r="L26" s="10"/>
      <c r="M26" s="42" t="s">
        <v>109</v>
      </c>
      <c r="N26" s="125">
        <f>+E26+2000</f>
        <v>3195.36</v>
      </c>
      <c r="O26" s="4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2.0" customHeight="1">
      <c r="A27" s="43" t="s">
        <v>110</v>
      </c>
      <c r="B27" s="14"/>
      <c r="C27" s="31">
        <v>2500.0</v>
      </c>
      <c r="D27" s="23">
        <f>50*50</f>
        <v>2500</v>
      </c>
      <c r="E27" s="21">
        <f t="shared" si="4"/>
        <v>0</v>
      </c>
      <c r="F27" s="70"/>
      <c r="G27" s="101"/>
      <c r="H27" s="103"/>
      <c r="I27" s="103"/>
      <c r="J27" s="10"/>
      <c r="K27" s="101"/>
      <c r="L27" s="10"/>
      <c r="M27" s="126"/>
      <c r="N27" s="42"/>
      <c r="O27" s="4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8.75" customHeight="1">
      <c r="A28" s="41" t="s">
        <v>31</v>
      </c>
      <c r="B28" s="44"/>
      <c r="C28" s="45">
        <f t="shared" ref="C28:D28" si="5">SUM(C23:C27)</f>
        <v>7650</v>
      </c>
      <c r="D28" s="46">
        <f t="shared" si="5"/>
        <v>5887.6</v>
      </c>
      <c r="E28" s="47">
        <f t="shared" si="4"/>
        <v>1762.4</v>
      </c>
      <c r="F28" s="44"/>
      <c r="G28" s="44">
        <f t="shared" ref="G28:K28" si="6">SUM(G22:G27)</f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10"/>
      <c r="M28" s="42"/>
      <c r="N28" s="42"/>
      <c r="O28" s="4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4.25" customHeight="1">
      <c r="A29" s="18"/>
      <c r="B29" s="48"/>
      <c r="C29" s="22"/>
      <c r="D29" s="23"/>
      <c r="E29" s="21">
        <f t="shared" si="4"/>
        <v>0</v>
      </c>
      <c r="F29" s="70"/>
      <c r="G29" s="10"/>
      <c r="H29" s="10"/>
      <c r="I29" s="10"/>
      <c r="J29" s="10"/>
      <c r="K29" s="10"/>
      <c r="L29" s="10"/>
      <c r="M29" s="42"/>
      <c r="N29" s="42"/>
      <c r="O29" s="42"/>
      <c r="P29" s="10" t="s">
        <v>23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2.0" customHeight="1">
      <c r="A30" s="41" t="s">
        <v>32</v>
      </c>
      <c r="B30" s="48"/>
      <c r="C30" s="22"/>
      <c r="D30" s="23"/>
      <c r="E30" s="21">
        <f t="shared" si="4"/>
        <v>0</v>
      </c>
      <c r="F30" s="70"/>
      <c r="G30" s="10"/>
      <c r="H30" s="10"/>
      <c r="I30" s="10"/>
      <c r="J30" s="10"/>
      <c r="K30" s="10"/>
      <c r="L30" s="10"/>
      <c r="M30" s="42"/>
      <c r="N30" s="42"/>
      <c r="O30" s="4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2.0" customHeight="1">
      <c r="A31" s="18" t="s">
        <v>33</v>
      </c>
      <c r="B31" s="48"/>
      <c r="C31" s="22">
        <v>450.0</v>
      </c>
      <c r="D31" s="23">
        <v>450.0</v>
      </c>
      <c r="E31" s="21">
        <f t="shared" si="4"/>
        <v>0</v>
      </c>
      <c r="F31" s="70"/>
      <c r="G31" s="10" t="s">
        <v>111</v>
      </c>
      <c r="H31" s="10"/>
      <c r="I31" s="10"/>
      <c r="J31" s="10"/>
      <c r="K31" s="10">
        <v>0.0</v>
      </c>
      <c r="L31" s="10"/>
      <c r="M31" s="42"/>
      <c r="N31" s="42"/>
      <c r="O31" s="4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2.0" customHeight="1">
      <c r="A32" s="18" t="s">
        <v>112</v>
      </c>
      <c r="B32" s="48"/>
      <c r="C32" s="22">
        <v>0.0</v>
      </c>
      <c r="D32" s="23"/>
      <c r="E32" s="21">
        <f t="shared" si="4"/>
        <v>0</v>
      </c>
      <c r="F32" s="70"/>
      <c r="G32" s="101"/>
      <c r="H32" s="101"/>
      <c r="I32" s="101"/>
      <c r="J32" s="10"/>
      <c r="K32" s="101"/>
      <c r="L32" s="10"/>
      <c r="M32" s="42" t="s">
        <v>113</v>
      </c>
      <c r="N32" s="50"/>
      <c r="O32" s="50"/>
      <c r="P32" s="49"/>
      <c r="Q32" s="49"/>
      <c r="R32" s="10"/>
      <c r="S32" s="10"/>
      <c r="T32" s="10"/>
      <c r="U32" s="10"/>
      <c r="V32" s="10"/>
      <c r="W32" s="10"/>
      <c r="X32" s="10"/>
      <c r="Y32" s="10"/>
      <c r="Z32" s="10"/>
    </row>
    <row r="33" ht="12.0" customHeight="1">
      <c r="A33" s="18" t="s">
        <v>35</v>
      </c>
      <c r="B33" s="48"/>
      <c r="C33" s="22">
        <v>2000.0</v>
      </c>
      <c r="D33" s="23">
        <f>90+525+103.15+1569.23+422.04+80+885.62</f>
        <v>3675.04</v>
      </c>
      <c r="E33" s="21">
        <f t="shared" si="4"/>
        <v>-1675.04</v>
      </c>
      <c r="F33" s="70"/>
      <c r="G33" s="101"/>
      <c r="H33" s="101"/>
      <c r="I33" s="101"/>
      <c r="J33" s="10"/>
      <c r="K33" s="101"/>
      <c r="L33" s="10"/>
      <c r="M33" s="127" t="s">
        <v>114</v>
      </c>
      <c r="N33" s="50"/>
      <c r="O33" s="50"/>
      <c r="P33" s="49"/>
      <c r="Q33" s="49"/>
      <c r="R33" s="10"/>
      <c r="S33" s="10"/>
      <c r="T33" s="10"/>
      <c r="U33" s="10"/>
      <c r="V33" s="10"/>
      <c r="W33" s="10"/>
      <c r="X33" s="10"/>
      <c r="Y33" s="10"/>
      <c r="Z33" s="10"/>
    </row>
    <row r="34" ht="12.0" customHeight="1">
      <c r="A34" s="18" t="s">
        <v>36</v>
      </c>
      <c r="B34" s="14"/>
      <c r="C34" s="22">
        <v>1000.0</v>
      </c>
      <c r="D34" s="23">
        <v>1400.0</v>
      </c>
      <c r="E34" s="21">
        <f t="shared" si="4"/>
        <v>-400</v>
      </c>
      <c r="F34" s="70"/>
      <c r="G34" s="101"/>
      <c r="H34" s="101"/>
      <c r="I34" s="101"/>
      <c r="J34" s="10"/>
      <c r="K34" s="101"/>
      <c r="L34" s="10"/>
      <c r="M34" s="127" t="s">
        <v>115</v>
      </c>
      <c r="N34" s="42"/>
      <c r="O34" s="4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2.0" customHeight="1">
      <c r="A35" s="18" t="s">
        <v>37</v>
      </c>
      <c r="B35" s="14"/>
      <c r="C35" s="22">
        <v>1000.0</v>
      </c>
      <c r="D35" s="87">
        <f>1500+613.75</f>
        <v>2113.75</v>
      </c>
      <c r="E35" s="21">
        <f t="shared" si="4"/>
        <v>-1113.75</v>
      </c>
      <c r="F35" s="70"/>
      <c r="G35" s="101"/>
      <c r="H35" s="101"/>
      <c r="I35" s="101"/>
      <c r="J35" s="10"/>
      <c r="K35" s="101"/>
      <c r="L35" s="10"/>
      <c r="M35" s="127" t="s">
        <v>116</v>
      </c>
      <c r="N35" s="42"/>
      <c r="O35" s="4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2.0" customHeight="1">
      <c r="A36" s="18" t="s">
        <v>38</v>
      </c>
      <c r="B36" s="14"/>
      <c r="C36" s="22">
        <v>150.0</v>
      </c>
      <c r="D36" s="23">
        <v>432.53</v>
      </c>
      <c r="E36" s="21">
        <f t="shared" si="4"/>
        <v>-282.53</v>
      </c>
      <c r="F36" s="70"/>
      <c r="G36" s="101"/>
      <c r="H36" s="103"/>
      <c r="I36" s="103"/>
      <c r="J36" s="10"/>
      <c r="K36" s="101"/>
      <c r="L36" s="10"/>
      <c r="M36" s="42"/>
      <c r="N36" s="42"/>
      <c r="O36" s="4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2.0" customHeight="1">
      <c r="A37" s="41" t="s">
        <v>39</v>
      </c>
      <c r="B37" s="44"/>
      <c r="C37" s="45">
        <f t="shared" ref="C37:D37" si="7">SUM(C31:C36)</f>
        <v>4600</v>
      </c>
      <c r="D37" s="46">
        <f t="shared" si="7"/>
        <v>8071.32</v>
      </c>
      <c r="E37" s="47">
        <f t="shared" si="4"/>
        <v>-3471.32</v>
      </c>
      <c r="F37" s="44"/>
      <c r="G37" s="44">
        <f t="shared" ref="G37:K37" si="8">SUM(G31:G36)</f>
        <v>0</v>
      </c>
      <c r="H37" s="44">
        <f t="shared" si="8"/>
        <v>0</v>
      </c>
      <c r="I37" s="44">
        <f t="shared" si="8"/>
        <v>0</v>
      </c>
      <c r="J37" s="44">
        <f t="shared" si="8"/>
        <v>0</v>
      </c>
      <c r="K37" s="44">
        <f t="shared" si="8"/>
        <v>0</v>
      </c>
      <c r="L37" s="10"/>
      <c r="M37" s="42"/>
      <c r="N37" s="42"/>
      <c r="O37" s="4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7.5" customHeight="1">
      <c r="A38" s="18"/>
      <c r="B38" s="14"/>
      <c r="C38" s="22"/>
      <c r="D38" s="23"/>
      <c r="E38" s="21">
        <f t="shared" si="4"/>
        <v>0</v>
      </c>
      <c r="F38" s="70"/>
      <c r="G38" s="10"/>
      <c r="H38" s="10"/>
      <c r="I38" s="10"/>
      <c r="J38" s="10"/>
      <c r="K38" s="10"/>
      <c r="L38" s="10"/>
      <c r="M38" s="42"/>
      <c r="N38" s="42"/>
      <c r="O38" s="4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2.0" customHeight="1">
      <c r="A39" s="41" t="s">
        <v>40</v>
      </c>
      <c r="B39" s="14"/>
      <c r="C39" s="22"/>
      <c r="D39" s="23"/>
      <c r="E39" s="21">
        <f t="shared" si="4"/>
        <v>0</v>
      </c>
      <c r="F39" s="70"/>
      <c r="G39" s="10"/>
      <c r="H39" s="10"/>
      <c r="I39" s="10"/>
      <c r="J39" s="10"/>
      <c r="K39" s="10"/>
      <c r="L39" s="10"/>
      <c r="M39" s="42"/>
      <c r="N39" s="42"/>
      <c r="O39" s="4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2.0" customHeight="1">
      <c r="A40" s="52" t="s">
        <v>41</v>
      </c>
      <c r="B40" s="14"/>
      <c r="C40" s="22">
        <v>1000.0</v>
      </c>
      <c r="D40" s="23">
        <f>535+396.28</f>
        <v>931.28</v>
      </c>
      <c r="E40" s="21">
        <f t="shared" si="4"/>
        <v>68.72</v>
      </c>
      <c r="F40" s="70"/>
      <c r="G40" s="104"/>
      <c r="H40" s="105"/>
      <c r="I40" s="105"/>
      <c r="J40" s="10"/>
      <c r="K40" s="26"/>
      <c r="L40" s="26"/>
      <c r="M40" s="128" t="s">
        <v>117</v>
      </c>
      <c r="N40" s="128"/>
      <c r="O40" s="128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2.0" customHeight="1">
      <c r="A41" s="41" t="s">
        <v>43</v>
      </c>
      <c r="B41" s="44"/>
      <c r="C41" s="88">
        <f>SUM(C40)</f>
        <v>1000</v>
      </c>
      <c r="D41" s="89"/>
      <c r="E41" s="21">
        <f t="shared" si="4"/>
        <v>1000</v>
      </c>
      <c r="F41" s="44"/>
      <c r="G41" s="44">
        <f t="shared" ref="G41:K41" si="9">SUM(G40)</f>
        <v>0</v>
      </c>
      <c r="H41" s="44">
        <f t="shared" si="9"/>
        <v>0</v>
      </c>
      <c r="I41" s="44">
        <f t="shared" si="9"/>
        <v>0</v>
      </c>
      <c r="J41" s="44">
        <f t="shared" si="9"/>
        <v>0</v>
      </c>
      <c r="K41" s="44">
        <f t="shared" si="9"/>
        <v>0</v>
      </c>
      <c r="L41" s="10"/>
      <c r="M41" s="42"/>
      <c r="N41" s="42"/>
      <c r="O41" s="4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6.75" customHeight="1">
      <c r="A42" s="18"/>
      <c r="B42" s="14"/>
      <c r="C42" s="22"/>
      <c r="D42" s="23"/>
      <c r="E42" s="21">
        <f t="shared" si="4"/>
        <v>0</v>
      </c>
      <c r="F42" s="70"/>
      <c r="G42" s="10"/>
      <c r="H42" s="10"/>
      <c r="I42" s="10"/>
      <c r="J42" s="10"/>
      <c r="K42" s="10"/>
      <c r="L42" s="10"/>
      <c r="M42" s="42"/>
      <c r="N42" s="42"/>
      <c r="O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0" customHeight="1">
      <c r="A43" s="41" t="s">
        <v>44</v>
      </c>
      <c r="B43" s="14"/>
      <c r="C43" s="22"/>
      <c r="D43" s="23"/>
      <c r="E43" s="21">
        <f t="shared" si="4"/>
        <v>0</v>
      </c>
      <c r="F43" s="70"/>
      <c r="G43" s="10"/>
      <c r="H43" s="10"/>
      <c r="I43" s="10"/>
      <c r="J43" s="10"/>
      <c r="K43" s="10"/>
      <c r="L43" s="10"/>
      <c r="M43" s="129"/>
      <c r="N43" s="129"/>
      <c r="O43" s="12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0" customHeight="1">
      <c r="A44" s="18" t="s">
        <v>45</v>
      </c>
      <c r="B44" s="14"/>
      <c r="C44" s="22">
        <v>200.0</v>
      </c>
      <c r="D44" s="23">
        <v>75.0</v>
      </c>
      <c r="E44" s="21">
        <f t="shared" si="4"/>
        <v>125</v>
      </c>
      <c r="F44" s="70"/>
      <c r="G44" s="101"/>
      <c r="H44" s="103"/>
      <c r="I44" s="103"/>
      <c r="J44" s="10"/>
      <c r="K44" s="101"/>
      <c r="L44" s="10"/>
      <c r="M44" s="129"/>
      <c r="N44" s="129"/>
      <c r="O44" s="12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0" customHeight="1">
      <c r="A45" s="18" t="s">
        <v>46</v>
      </c>
      <c r="B45" s="14"/>
      <c r="C45" s="22">
        <v>1500.0</v>
      </c>
      <c r="D45" s="23">
        <v>0.0</v>
      </c>
      <c r="E45" s="21">
        <f t="shared" si="4"/>
        <v>1500</v>
      </c>
      <c r="F45" s="70"/>
      <c r="G45" s="101"/>
      <c r="H45" s="101"/>
      <c r="I45" s="101"/>
      <c r="J45" s="10"/>
      <c r="K45" s="101"/>
      <c r="L45" s="10"/>
      <c r="M45" s="129"/>
      <c r="N45" s="129"/>
      <c r="O45" s="12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0" customHeight="1">
      <c r="A46" s="18" t="s">
        <v>47</v>
      </c>
      <c r="B46" s="14"/>
      <c r="C46" s="22">
        <v>1700.0</v>
      </c>
      <c r="D46" s="56">
        <f>1031.25+97.5+26.25+116.25+3.75+63.75</f>
        <v>1338.75</v>
      </c>
      <c r="E46" s="21">
        <f t="shared" si="4"/>
        <v>361.25</v>
      </c>
      <c r="F46" s="70"/>
      <c r="G46" s="101"/>
      <c r="H46" s="101"/>
      <c r="I46" s="101"/>
      <c r="J46" s="10"/>
      <c r="K46" s="101"/>
      <c r="L46" s="10"/>
      <c r="M46" s="130"/>
      <c r="N46" s="129"/>
      <c r="O46" s="12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2.0" customHeight="1">
      <c r="A47" s="41" t="s">
        <v>48</v>
      </c>
      <c r="B47" s="44"/>
      <c r="C47" s="45">
        <f>SUM(C44:C46)</f>
        <v>3400</v>
      </c>
      <c r="D47" s="46">
        <f>SUM(D43:D46)</f>
        <v>1413.75</v>
      </c>
      <c r="E47" s="55">
        <f>SUM(E44:E46)</f>
        <v>1986.25</v>
      </c>
      <c r="F47" s="44"/>
      <c r="G47" s="44">
        <f t="shared" ref="G47:K47" si="10">SUM(G44,G45,G46)</f>
        <v>0</v>
      </c>
      <c r="H47" s="44">
        <f t="shared" si="10"/>
        <v>0</v>
      </c>
      <c r="I47" s="44">
        <f t="shared" si="10"/>
        <v>0</v>
      </c>
      <c r="J47" s="44">
        <f t="shared" si="10"/>
        <v>0</v>
      </c>
      <c r="K47" s="44">
        <f t="shared" si="10"/>
        <v>0</v>
      </c>
      <c r="L47" s="10"/>
      <c r="M47" s="129"/>
      <c r="N47" s="129"/>
      <c r="O47" s="12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9.0" customHeight="1">
      <c r="A48" s="18"/>
      <c r="B48" s="18"/>
      <c r="C48" s="22"/>
      <c r="D48" s="23"/>
      <c r="E48" s="21">
        <f>C48-D48</f>
        <v>0</v>
      </c>
      <c r="F48" s="70"/>
      <c r="G48" s="10"/>
      <c r="H48" s="10"/>
      <c r="I48" s="10"/>
      <c r="J48" s="10"/>
      <c r="K48" s="10"/>
      <c r="L48" s="10"/>
      <c r="M48" s="129"/>
      <c r="N48" s="129"/>
      <c r="O48" s="12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2.0" customHeight="1">
      <c r="A49" s="41" t="s">
        <v>49</v>
      </c>
      <c r="B49" s="14"/>
      <c r="C49" s="22"/>
      <c r="D49" s="23"/>
      <c r="E49" s="21"/>
      <c r="F49" s="70"/>
      <c r="G49" s="26"/>
      <c r="H49" s="26"/>
      <c r="I49" s="26"/>
      <c r="J49" s="10"/>
      <c r="K49" s="26"/>
      <c r="L49" s="26"/>
      <c r="M49" s="131"/>
      <c r="N49" s="131"/>
      <c r="O49" s="131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2.0" customHeight="1">
      <c r="A50" s="18" t="s">
        <v>50</v>
      </c>
      <c r="B50" s="14"/>
      <c r="C50" s="22">
        <v>200.0</v>
      </c>
      <c r="D50" s="56">
        <v>200.0</v>
      </c>
      <c r="E50" s="21">
        <f t="shared" ref="E50:E57" si="11">C50-D50</f>
        <v>0</v>
      </c>
      <c r="F50" s="70"/>
      <c r="G50" s="104"/>
      <c r="H50" s="104"/>
      <c r="I50" s="104"/>
      <c r="J50" s="10"/>
      <c r="K50" s="104"/>
      <c r="L50" s="26"/>
      <c r="M50" s="131"/>
      <c r="N50" s="131"/>
      <c r="O50" s="131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2.0" customHeight="1">
      <c r="A51" s="18" t="s">
        <v>118</v>
      </c>
      <c r="B51" s="14"/>
      <c r="C51" s="22">
        <v>30.0</v>
      </c>
      <c r="D51" s="23">
        <v>30.0</v>
      </c>
      <c r="E51" s="21">
        <f t="shared" si="11"/>
        <v>0</v>
      </c>
      <c r="F51" s="70"/>
      <c r="G51" s="104"/>
      <c r="H51" s="104"/>
      <c r="I51" s="104"/>
      <c r="J51" s="10"/>
      <c r="K51" s="104"/>
      <c r="L51" s="26"/>
      <c r="M51" s="131"/>
      <c r="N51" s="131"/>
      <c r="O51" s="131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2.0" customHeight="1">
      <c r="A52" s="18" t="s">
        <v>52</v>
      </c>
      <c r="B52" s="14"/>
      <c r="C52" s="22">
        <v>100.0</v>
      </c>
      <c r="D52" s="23">
        <f>25+25+75</f>
        <v>125</v>
      </c>
      <c r="E52" s="21">
        <f t="shared" si="11"/>
        <v>-25</v>
      </c>
      <c r="F52" s="70"/>
      <c r="G52" s="101"/>
      <c r="H52" s="101"/>
      <c r="I52" s="101"/>
      <c r="J52" s="10"/>
      <c r="K52" s="101"/>
      <c r="L52" s="10"/>
      <c r="M52" s="129"/>
      <c r="N52" s="129"/>
      <c r="O52" s="129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2.0" customHeight="1">
      <c r="A53" s="18" t="s">
        <v>119</v>
      </c>
      <c r="B53" s="14"/>
      <c r="C53" s="22">
        <v>1000.0</v>
      </c>
      <c r="D53" s="56">
        <v>1413.0</v>
      </c>
      <c r="E53" s="21">
        <f t="shared" si="11"/>
        <v>-413</v>
      </c>
      <c r="F53" s="70"/>
      <c r="G53" s="101"/>
      <c r="H53" s="101"/>
      <c r="I53" s="101"/>
      <c r="J53" s="10"/>
      <c r="K53" s="101"/>
      <c r="L53" s="10"/>
      <c r="M53" s="129"/>
      <c r="N53" s="129"/>
      <c r="O53" s="129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0" customHeight="1">
      <c r="A54" s="18" t="s">
        <v>54</v>
      </c>
      <c r="B54" s="14"/>
      <c r="C54" s="22">
        <v>200.0</v>
      </c>
      <c r="D54" s="23">
        <v>150.0</v>
      </c>
      <c r="E54" s="21">
        <f t="shared" si="11"/>
        <v>50</v>
      </c>
      <c r="F54" s="70"/>
      <c r="G54" s="101"/>
      <c r="H54" s="101"/>
      <c r="I54" s="101"/>
      <c r="J54" s="10"/>
      <c r="K54" s="101"/>
      <c r="L54" s="10"/>
      <c r="M54" s="129"/>
      <c r="N54" s="129"/>
      <c r="O54" s="129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0" customHeight="1">
      <c r="A55" s="18" t="s">
        <v>55</v>
      </c>
      <c r="B55" s="14"/>
      <c r="C55" s="22">
        <v>125.0</v>
      </c>
      <c r="D55" s="23">
        <v>125.0</v>
      </c>
      <c r="E55" s="21">
        <f t="shared" si="11"/>
        <v>0</v>
      </c>
      <c r="F55" s="70"/>
      <c r="G55" s="101"/>
      <c r="H55" s="101"/>
      <c r="I55" s="101"/>
      <c r="J55" s="10"/>
      <c r="K55" s="101"/>
      <c r="L55" s="10"/>
      <c r="M55" s="129"/>
      <c r="N55" s="129"/>
      <c r="O55" s="12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0" customHeight="1">
      <c r="A56" s="18" t="s">
        <v>56</v>
      </c>
      <c r="B56" s="14"/>
      <c r="C56" s="22">
        <v>215.0</v>
      </c>
      <c r="D56" s="23">
        <v>215.0</v>
      </c>
      <c r="E56" s="21">
        <f t="shared" si="11"/>
        <v>0</v>
      </c>
      <c r="F56" s="70"/>
      <c r="G56" s="101"/>
      <c r="H56" s="101"/>
      <c r="I56" s="101"/>
      <c r="J56" s="10"/>
      <c r="K56" s="101"/>
      <c r="L56" s="10"/>
      <c r="M56" s="129"/>
      <c r="N56" s="129"/>
      <c r="O56" s="12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0" customHeight="1">
      <c r="A57" s="18" t="s">
        <v>57</v>
      </c>
      <c r="B57" s="14"/>
      <c r="C57" s="31">
        <v>50.0</v>
      </c>
      <c r="D57" s="23">
        <v>355.0</v>
      </c>
      <c r="E57" s="21">
        <f t="shared" si="11"/>
        <v>-305</v>
      </c>
      <c r="F57" s="70"/>
      <c r="G57" s="101"/>
      <c r="H57" s="101"/>
      <c r="I57" s="101"/>
      <c r="J57" s="10"/>
      <c r="K57" s="101"/>
      <c r="L57" s="10" t="s">
        <v>120</v>
      </c>
      <c r="M57" s="129"/>
      <c r="N57" s="129"/>
      <c r="O57" s="129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0" customHeight="1">
      <c r="A58" s="18" t="s">
        <v>93</v>
      </c>
      <c r="B58" s="14"/>
      <c r="C58" s="22">
        <v>3000.0</v>
      </c>
      <c r="D58" s="23"/>
      <c r="E58" s="21">
        <v>0.0</v>
      </c>
      <c r="F58" s="70"/>
      <c r="G58" s="101"/>
      <c r="H58" s="101"/>
      <c r="I58" s="101"/>
      <c r="J58" s="10"/>
      <c r="K58" s="103"/>
      <c r="L58" s="10"/>
      <c r="M58" s="129"/>
      <c r="N58" s="129"/>
      <c r="O58" s="129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2.0" customHeight="1">
      <c r="A59" s="18" t="s">
        <v>121</v>
      </c>
      <c r="B59" s="44"/>
      <c r="C59" s="22">
        <v>200.0</v>
      </c>
      <c r="D59" s="56"/>
      <c r="E59" s="21">
        <f t="shared" ref="E59:E67" si="12">C59-D59</f>
        <v>200</v>
      </c>
      <c r="F59" s="44"/>
      <c r="G59" s="10"/>
      <c r="H59" s="10"/>
      <c r="I59" s="10"/>
      <c r="J59" s="10"/>
      <c r="K59" s="10"/>
      <c r="L59" s="10"/>
      <c r="M59" s="129"/>
      <c r="N59" s="129"/>
      <c r="O59" s="12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2.0" customHeight="1">
      <c r="A60" s="18" t="s">
        <v>122</v>
      </c>
      <c r="B60" s="14"/>
      <c r="C60" s="22">
        <v>50.0</v>
      </c>
      <c r="D60" s="23">
        <v>55.0</v>
      </c>
      <c r="E60" s="21">
        <f t="shared" si="12"/>
        <v>-5</v>
      </c>
      <c r="F60" s="70"/>
      <c r="G60" s="101"/>
      <c r="H60" s="101"/>
      <c r="I60" s="101"/>
      <c r="J60" s="10"/>
      <c r="K60" s="101"/>
      <c r="L60" s="10"/>
      <c r="M60" s="129"/>
      <c r="N60" s="129"/>
      <c r="O60" s="129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0" customHeight="1">
      <c r="A61" s="18" t="s">
        <v>94</v>
      </c>
      <c r="B61" s="14"/>
      <c r="C61" s="22">
        <v>150.0</v>
      </c>
      <c r="D61" s="23"/>
      <c r="E61" s="21">
        <f t="shared" si="12"/>
        <v>150</v>
      </c>
      <c r="F61" s="70"/>
      <c r="G61" s="101"/>
      <c r="H61" s="101"/>
      <c r="I61" s="101"/>
      <c r="J61" s="10"/>
      <c r="K61" s="101"/>
      <c r="L61" s="10"/>
      <c r="M61" s="129"/>
      <c r="N61" s="129"/>
      <c r="O61" s="129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2.0" customHeight="1">
      <c r="A62" s="18" t="s">
        <v>60</v>
      </c>
      <c r="B62" s="14"/>
      <c r="C62" s="31">
        <v>320.0</v>
      </c>
      <c r="D62" s="23">
        <v>270.0</v>
      </c>
      <c r="E62" s="21">
        <f t="shared" si="12"/>
        <v>50</v>
      </c>
      <c r="F62" s="70"/>
      <c r="G62" s="101"/>
      <c r="H62" s="101"/>
      <c r="I62" s="101"/>
      <c r="J62" s="10"/>
      <c r="K62" s="101"/>
      <c r="L62" s="10"/>
      <c r="M62" s="129"/>
      <c r="N62" s="129"/>
      <c r="O62" s="129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2.0" customHeight="1">
      <c r="A63" s="18" t="s">
        <v>61</v>
      </c>
      <c r="B63" s="48"/>
      <c r="C63" s="22">
        <v>100.0</v>
      </c>
      <c r="D63" s="56">
        <v>96.0</v>
      </c>
      <c r="E63" s="21">
        <f t="shared" si="12"/>
        <v>4</v>
      </c>
      <c r="F63" s="70"/>
      <c r="G63" s="10"/>
      <c r="H63" s="10"/>
      <c r="I63" s="10"/>
      <c r="J63" s="10"/>
      <c r="K63" s="10"/>
      <c r="L63" s="10"/>
      <c r="M63" s="129"/>
      <c r="N63" s="129"/>
      <c r="O63" s="12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0" customHeight="1">
      <c r="A64" s="18" t="s">
        <v>95</v>
      </c>
      <c r="B64" s="14"/>
      <c r="C64" s="22">
        <v>50.0</v>
      </c>
      <c r="D64" s="23">
        <v>95.85</v>
      </c>
      <c r="E64" s="21">
        <f t="shared" si="12"/>
        <v>-45.85</v>
      </c>
      <c r="F64" s="70"/>
      <c r="G64" s="101"/>
      <c r="H64" s="101"/>
      <c r="I64" s="101"/>
      <c r="J64" s="10"/>
      <c r="K64" s="101"/>
      <c r="L64" s="10" t="s">
        <v>123</v>
      </c>
      <c r="M64" s="129"/>
      <c r="N64" s="129"/>
      <c r="O64" s="12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2.0" customHeight="1">
      <c r="A65" s="18" t="s">
        <v>62</v>
      </c>
      <c r="B65" s="14"/>
      <c r="C65" s="22">
        <v>120.0</v>
      </c>
      <c r="D65" s="23">
        <v>119.99</v>
      </c>
      <c r="E65" s="21">
        <f t="shared" si="12"/>
        <v>0.01</v>
      </c>
      <c r="F65" s="70"/>
      <c r="G65" s="101"/>
      <c r="H65" s="101"/>
      <c r="I65" s="101"/>
      <c r="J65" s="10"/>
      <c r="K65" s="101"/>
      <c r="L65" s="10"/>
      <c r="M65" s="129"/>
      <c r="N65" s="129"/>
      <c r="O65" s="129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2.0" customHeight="1">
      <c r="A66" s="18" t="s">
        <v>96</v>
      </c>
      <c r="B66" s="10"/>
      <c r="C66" s="22">
        <v>72.0</v>
      </c>
      <c r="D66" s="23">
        <v>72.0</v>
      </c>
      <c r="E66" s="21">
        <f t="shared" si="12"/>
        <v>0</v>
      </c>
      <c r="F66" s="70"/>
      <c r="G66" s="10"/>
      <c r="H66" s="10"/>
      <c r="I66" s="10"/>
      <c r="J66" s="10"/>
      <c r="K66" s="10">
        <v>0.0</v>
      </c>
      <c r="L66" s="10"/>
      <c r="M66" s="129"/>
      <c r="N66" s="129"/>
      <c r="O66" s="129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2.0" customHeight="1">
      <c r="A67" s="18" t="s">
        <v>63</v>
      </c>
      <c r="B67" s="10"/>
      <c r="C67" s="22">
        <f>14.99*12</f>
        <v>179.88</v>
      </c>
      <c r="D67" s="23">
        <v>119.72</v>
      </c>
      <c r="E67" s="21">
        <f t="shared" si="12"/>
        <v>60.16</v>
      </c>
      <c r="F67" s="70"/>
      <c r="G67" s="10"/>
      <c r="H67" s="10"/>
      <c r="I67" s="10"/>
      <c r="J67" s="10"/>
      <c r="K67" s="10">
        <v>0.0</v>
      </c>
      <c r="L67" s="10"/>
      <c r="M67" s="129"/>
      <c r="N67" s="129"/>
      <c r="O67" s="129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2.0" customHeight="1">
      <c r="A68" s="41" t="s">
        <v>64</v>
      </c>
      <c r="B68" s="44"/>
      <c r="C68" s="45">
        <f t="shared" ref="C68:E68" si="13">SUM(C50:C67)</f>
        <v>6161.88</v>
      </c>
      <c r="D68" s="46">
        <f t="shared" si="13"/>
        <v>3441.56</v>
      </c>
      <c r="E68" s="55">
        <f t="shared" si="13"/>
        <v>-279.68</v>
      </c>
      <c r="F68" s="44"/>
      <c r="G68" s="44">
        <f t="shared" ref="G68:K68" si="14">SUM(G50:G66)</f>
        <v>0</v>
      </c>
      <c r="H68" s="44">
        <f t="shared" si="14"/>
        <v>0</v>
      </c>
      <c r="I68" s="44">
        <f t="shared" si="14"/>
        <v>0</v>
      </c>
      <c r="J68" s="44">
        <f t="shared" si="14"/>
        <v>0</v>
      </c>
      <c r="K68" s="44">
        <f t="shared" si="14"/>
        <v>0</v>
      </c>
      <c r="L68" s="10"/>
      <c r="M68" s="129"/>
      <c r="N68" s="129"/>
      <c r="O68" s="12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5.25" customHeight="1">
      <c r="A69" s="41"/>
      <c r="B69" s="14"/>
      <c r="C69" s="22"/>
      <c r="D69" s="23"/>
      <c r="E69" s="21">
        <f t="shared" ref="E69:E82" si="15">C69-D69</f>
        <v>0</v>
      </c>
      <c r="F69" s="70"/>
      <c r="G69" s="10"/>
      <c r="H69" s="10"/>
      <c r="I69" s="10"/>
      <c r="J69" s="10"/>
      <c r="K69" s="10"/>
      <c r="L69" s="10"/>
      <c r="M69" s="129"/>
      <c r="N69" s="129"/>
      <c r="O69" s="129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2.0" customHeight="1">
      <c r="A70" s="41" t="s">
        <v>97</v>
      </c>
      <c r="B70" s="14"/>
      <c r="C70" s="22"/>
      <c r="D70" s="23"/>
      <c r="E70" s="21">
        <f t="shared" si="15"/>
        <v>0</v>
      </c>
      <c r="F70" s="70"/>
      <c r="G70" s="10"/>
      <c r="H70" s="10"/>
      <c r="I70" s="10"/>
      <c r="J70" s="10"/>
      <c r="K70" s="10"/>
      <c r="L70" s="10"/>
      <c r="M70" s="129"/>
      <c r="N70" s="129"/>
      <c r="O70" s="129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2.0" customHeight="1">
      <c r="A71" s="18" t="s">
        <v>124</v>
      </c>
      <c r="B71" s="14"/>
      <c r="C71" s="22">
        <v>2000.0</v>
      </c>
      <c r="D71" s="56"/>
      <c r="E71" s="21">
        <f t="shared" si="15"/>
        <v>2000</v>
      </c>
      <c r="F71" s="70"/>
      <c r="G71" s="101"/>
      <c r="H71" s="101"/>
      <c r="I71" s="101"/>
      <c r="J71" s="10"/>
      <c r="K71" s="101"/>
      <c r="L71" s="10"/>
      <c r="M71" s="129"/>
      <c r="N71" s="129"/>
      <c r="O71" s="12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2.0" customHeight="1">
      <c r="A72" s="18" t="s">
        <v>67</v>
      </c>
      <c r="B72" s="14"/>
      <c r="C72" s="22">
        <v>50.0</v>
      </c>
      <c r="D72" s="23">
        <v>203.0</v>
      </c>
      <c r="E72" s="21">
        <f t="shared" si="15"/>
        <v>-153</v>
      </c>
      <c r="F72" s="70"/>
      <c r="G72" s="101"/>
      <c r="H72" s="101"/>
      <c r="I72" s="101"/>
      <c r="J72" s="10"/>
      <c r="K72" s="101"/>
      <c r="L72" s="10"/>
      <c r="M72" s="129"/>
      <c r="N72" s="129"/>
      <c r="O72" s="12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2.0" customHeight="1">
      <c r="A73" s="18" t="s">
        <v>68</v>
      </c>
      <c r="B73" s="14"/>
      <c r="C73" s="22">
        <v>200.0</v>
      </c>
      <c r="D73" s="23">
        <v>10.0</v>
      </c>
      <c r="E73" s="21">
        <f t="shared" si="15"/>
        <v>190</v>
      </c>
      <c r="F73" s="70"/>
      <c r="G73" s="101"/>
      <c r="H73" s="101"/>
      <c r="I73" s="101"/>
      <c r="J73" s="10"/>
      <c r="K73" s="101"/>
      <c r="L73" s="10"/>
      <c r="M73" s="129"/>
      <c r="N73" s="129"/>
      <c r="O73" s="129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0" customHeight="1">
      <c r="A74" s="18" t="s">
        <v>69</v>
      </c>
      <c r="B74" s="14"/>
      <c r="C74" s="22">
        <v>1500.0</v>
      </c>
      <c r="D74" s="90">
        <f>250+329+51.69+342.87+54.94+14+632.69+67.87+250</f>
        <v>1993.06</v>
      </c>
      <c r="E74" s="21">
        <f t="shared" si="15"/>
        <v>-493.06</v>
      </c>
      <c r="F74" s="70"/>
      <c r="G74" s="101"/>
      <c r="H74" s="101"/>
      <c r="I74" s="101"/>
      <c r="J74" s="10"/>
      <c r="K74" s="101"/>
      <c r="L74" s="10"/>
      <c r="M74" s="129"/>
      <c r="N74" s="129"/>
      <c r="O74" s="129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2.0" customHeight="1">
      <c r="A75" s="18" t="s">
        <v>70</v>
      </c>
      <c r="B75" s="14"/>
      <c r="C75" s="22">
        <v>2000.0</v>
      </c>
      <c r="D75" s="23">
        <f>250+329+365.86+186.48+585.81+144.11</f>
        <v>1861.26</v>
      </c>
      <c r="E75" s="21">
        <f t="shared" si="15"/>
        <v>138.74</v>
      </c>
      <c r="F75" s="70"/>
      <c r="G75" s="101"/>
      <c r="H75" s="101"/>
      <c r="I75" s="101"/>
      <c r="J75" s="10"/>
      <c r="K75" s="101"/>
      <c r="L75" s="10"/>
      <c r="M75" s="129"/>
      <c r="N75" s="129"/>
      <c r="O75" s="129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2.0" customHeight="1">
      <c r="A76" s="18" t="s">
        <v>71</v>
      </c>
      <c r="B76" s="14"/>
      <c r="C76" s="22">
        <v>3500.0</v>
      </c>
      <c r="D76" s="23">
        <f>475+325+280.28+100.4+2150+206.26+176.82+457+50</f>
        <v>4220.76</v>
      </c>
      <c r="E76" s="21">
        <f t="shared" si="15"/>
        <v>-720.76</v>
      </c>
      <c r="F76" s="70"/>
      <c r="G76" s="101"/>
      <c r="H76" s="101"/>
      <c r="I76" s="101"/>
      <c r="J76" s="10"/>
      <c r="K76" s="101"/>
      <c r="L76" s="10"/>
      <c r="M76" s="129"/>
      <c r="N76" s="132"/>
      <c r="O76" s="132"/>
      <c r="P76" s="49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2.0" customHeight="1">
      <c r="A77" s="18" t="s">
        <v>72</v>
      </c>
      <c r="B77" s="14"/>
      <c r="C77" s="22">
        <v>5000.0</v>
      </c>
      <c r="D77" s="23">
        <v>4621.530000000001</v>
      </c>
      <c r="E77" s="21">
        <f t="shared" si="15"/>
        <v>378.47</v>
      </c>
      <c r="F77" s="70"/>
      <c r="G77" s="101"/>
      <c r="H77" s="101"/>
      <c r="I77" s="101"/>
      <c r="J77" s="10"/>
      <c r="K77" s="101"/>
      <c r="L77" s="10"/>
      <c r="M77" s="129"/>
      <c r="N77" s="129"/>
      <c r="O77" s="129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2.0" customHeight="1">
      <c r="A78" s="41" t="s">
        <v>74</v>
      </c>
      <c r="B78" s="44"/>
      <c r="C78" s="45">
        <f t="shared" ref="C78:D78" si="16">SUM(C71:C77)</f>
        <v>14250</v>
      </c>
      <c r="D78" s="46">
        <f t="shared" si="16"/>
        <v>12909.61</v>
      </c>
      <c r="E78" s="47">
        <f t="shared" si="15"/>
        <v>1340.39</v>
      </c>
      <c r="F78" s="44"/>
      <c r="G78" s="44">
        <f t="shared" ref="G78:K78" si="17">SUM(G71:G77)</f>
        <v>0</v>
      </c>
      <c r="H78" s="44">
        <f t="shared" si="17"/>
        <v>0</v>
      </c>
      <c r="I78" s="44">
        <f t="shared" si="17"/>
        <v>0</v>
      </c>
      <c r="J78" s="44">
        <f t="shared" si="17"/>
        <v>0</v>
      </c>
      <c r="K78" s="44">
        <f t="shared" si="17"/>
        <v>0</v>
      </c>
      <c r="L78" s="10"/>
      <c r="M78" s="129"/>
      <c r="N78" s="129"/>
      <c r="O78" s="129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2.0" customHeight="1">
      <c r="A79" s="18" t="s">
        <v>76</v>
      </c>
      <c r="B79" s="44"/>
      <c r="C79" s="22">
        <v>200.0</v>
      </c>
      <c r="D79" s="23"/>
      <c r="E79" s="21">
        <f t="shared" si="15"/>
        <v>200</v>
      </c>
      <c r="F79" s="44"/>
      <c r="G79" s="10"/>
      <c r="H79" s="10"/>
      <c r="I79" s="10"/>
      <c r="J79" s="10"/>
      <c r="K79" s="10"/>
      <c r="L79" s="10"/>
      <c r="M79" s="129"/>
      <c r="N79" s="129"/>
      <c r="O79" s="129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2.0" customHeight="1">
      <c r="A80" s="18" t="s">
        <v>125</v>
      </c>
      <c r="B80" s="44"/>
      <c r="C80" s="22">
        <v>400.0</v>
      </c>
      <c r="D80" s="23">
        <v>461.76</v>
      </c>
      <c r="E80" s="21">
        <f t="shared" si="15"/>
        <v>-61.76</v>
      </c>
      <c r="F80" s="44"/>
      <c r="G80" s="10"/>
      <c r="H80" s="10"/>
      <c r="I80" s="10"/>
      <c r="J80" s="10"/>
      <c r="K80" s="10"/>
      <c r="L80" s="10"/>
      <c r="M80" s="129"/>
      <c r="N80" s="129"/>
      <c r="O80" s="129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2.0" customHeight="1">
      <c r="A81" s="18" t="s">
        <v>78</v>
      </c>
      <c r="B81" s="44"/>
      <c r="C81" s="22">
        <v>1000.0</v>
      </c>
      <c r="D81" s="56">
        <f>60.13+120+452.18+69.54+73.95+217.11</f>
        <v>992.91</v>
      </c>
      <c r="E81" s="21">
        <f t="shared" si="15"/>
        <v>7.09</v>
      </c>
      <c r="F81" s="44"/>
      <c r="G81" s="10"/>
      <c r="H81" s="10"/>
      <c r="I81" s="10"/>
      <c r="J81" s="10"/>
      <c r="K81" s="10"/>
      <c r="L81" s="10"/>
      <c r="M81" s="129"/>
      <c r="N81" s="129"/>
      <c r="O81" s="129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2.0" customHeight="1">
      <c r="A82" s="41" t="s">
        <v>98</v>
      </c>
      <c r="B82" s="44"/>
      <c r="C82" s="64">
        <f t="shared" ref="C82:D82" si="18">SUM(C79:C81)</f>
        <v>1600</v>
      </c>
      <c r="D82" s="133">
        <f t="shared" si="18"/>
        <v>1454.67</v>
      </c>
      <c r="E82" s="65">
        <f t="shared" si="15"/>
        <v>145.33</v>
      </c>
      <c r="F82" s="44"/>
      <c r="G82" s="134">
        <f t="shared" ref="G82:K82" si="19">SUM(G79:G81)</f>
        <v>0</v>
      </c>
      <c r="H82" s="134">
        <f t="shared" si="19"/>
        <v>0</v>
      </c>
      <c r="I82" s="134">
        <f t="shared" si="19"/>
        <v>0</v>
      </c>
      <c r="J82" s="134">
        <f t="shared" si="19"/>
        <v>0</v>
      </c>
      <c r="K82" s="134">
        <f t="shared" si="19"/>
        <v>0</v>
      </c>
      <c r="L82" s="10"/>
      <c r="M82" s="129"/>
      <c r="N82" s="129"/>
      <c r="O82" s="129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2.0" customHeight="1">
      <c r="A83" s="91" t="s">
        <v>80</v>
      </c>
      <c r="B83" s="92"/>
      <c r="C83" s="93">
        <f t="shared" ref="C83:E83" si="20">C82+C78+C68+C47+C41+C37+C28</f>
        <v>38661.88</v>
      </c>
      <c r="D83" s="135">
        <f t="shared" si="20"/>
        <v>33178.51</v>
      </c>
      <c r="E83" s="94">
        <f t="shared" si="20"/>
        <v>2483.37</v>
      </c>
      <c r="F83" s="136"/>
      <c r="G83" s="137">
        <f>SUM(G82, G78,G68,G47,G41,G37,G28)</f>
        <v>0</v>
      </c>
      <c r="H83" s="10"/>
      <c r="I83" s="10"/>
      <c r="J83" s="101">
        <v>18215.14</v>
      </c>
      <c r="K83" s="4" t="s">
        <v>126</v>
      </c>
      <c r="L83" s="134"/>
      <c r="M83" s="129"/>
      <c r="N83" s="129"/>
      <c r="O83" s="129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4.25" customHeight="1">
      <c r="A84" s="95" t="s">
        <v>99</v>
      </c>
      <c r="B84" s="138"/>
      <c r="C84" s="69"/>
      <c r="D84" s="68"/>
      <c r="E84" s="70"/>
      <c r="F84" s="139"/>
      <c r="G84" s="140">
        <f t="shared" ref="G84:H84" si="21">SUM(G20-G83)</f>
        <v>0</v>
      </c>
      <c r="H84" s="140">
        <f t="shared" si="21"/>
        <v>0</v>
      </c>
      <c r="I84" s="10"/>
      <c r="J84" s="10"/>
      <c r="K84" s="4" t="s">
        <v>127</v>
      </c>
      <c r="L84" s="134"/>
      <c r="M84" s="129"/>
      <c r="N84" s="129"/>
      <c r="O84" s="12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4.25" customHeight="1">
      <c r="A85" s="49"/>
      <c r="B85" s="49"/>
      <c r="C85" s="96">
        <f>C20-C83</f>
        <v>1989.09</v>
      </c>
      <c r="D85" s="70"/>
      <c r="E85" s="70"/>
      <c r="F85" s="70"/>
      <c r="G85" s="10"/>
      <c r="H85" s="10"/>
      <c r="I85" s="10"/>
      <c r="J85" s="10"/>
      <c r="K85" s="4" t="s">
        <v>128</v>
      </c>
      <c r="L85" s="134"/>
      <c r="M85" s="141"/>
      <c r="N85" s="129"/>
      <c r="O85" s="129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2.0" customHeight="1">
      <c r="A86" s="43"/>
      <c r="B86" s="97"/>
      <c r="C86" s="98"/>
      <c r="D86" s="52"/>
      <c r="E86" s="52"/>
      <c r="F86" s="52"/>
      <c r="G86" s="18"/>
      <c r="H86" s="18"/>
      <c r="I86" s="18"/>
      <c r="J86" s="18"/>
      <c r="K86" s="18"/>
      <c r="L86" s="18"/>
      <c r="M86" s="142"/>
      <c r="N86" s="142"/>
      <c r="O86" s="142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2.0" customHeight="1">
      <c r="A87" s="49"/>
      <c r="B87" s="49"/>
      <c r="C87" s="77"/>
      <c r="D87" s="70"/>
      <c r="E87" s="70"/>
      <c r="F87" s="70"/>
      <c r="G87" s="10"/>
      <c r="H87" s="10"/>
      <c r="I87" s="10"/>
      <c r="J87" s="10"/>
      <c r="K87" s="10"/>
      <c r="L87" s="10"/>
      <c r="M87" s="129"/>
      <c r="N87" s="129"/>
      <c r="O87" s="129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2.0" customHeight="1">
      <c r="A88" s="49"/>
      <c r="B88" s="49"/>
      <c r="C88" s="77"/>
      <c r="D88" s="70"/>
      <c r="E88" s="70"/>
      <c r="F88" s="70"/>
      <c r="G88" s="10"/>
      <c r="H88" s="10"/>
      <c r="I88" s="10"/>
      <c r="J88" s="10"/>
      <c r="K88" s="10"/>
      <c r="L88" s="10"/>
      <c r="M88" s="129"/>
      <c r="N88" s="129"/>
      <c r="O88" s="129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2.0" customHeight="1">
      <c r="A89" s="49"/>
      <c r="B89" s="49"/>
      <c r="C89" s="77"/>
      <c r="D89" s="70"/>
      <c r="E89" s="70"/>
      <c r="F89" s="70"/>
      <c r="G89" s="10"/>
      <c r="H89" s="10"/>
      <c r="I89" s="10"/>
      <c r="J89" s="10"/>
      <c r="K89" s="10"/>
      <c r="L89" s="10"/>
      <c r="M89" s="129"/>
      <c r="N89" s="129"/>
      <c r="O89" s="129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2.0" customHeight="1">
      <c r="A90" s="49"/>
      <c r="B90" s="49"/>
      <c r="C90" s="3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2.0" customHeight="1">
      <c r="A91" s="49"/>
      <c r="B91" s="49"/>
      <c r="C91" s="3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2.0" customHeight="1">
      <c r="A92" s="49"/>
      <c r="B92" s="49"/>
      <c r="C92" s="3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2.0" customHeight="1">
      <c r="A93" s="49"/>
      <c r="B93" s="49"/>
      <c r="C93" s="3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2.0" customHeight="1">
      <c r="A94" s="49"/>
      <c r="B94" s="49"/>
      <c r="C94" s="3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2.0" customHeight="1">
      <c r="A95" s="49"/>
      <c r="B95" s="49"/>
      <c r="C95" s="3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2.0" customHeight="1">
      <c r="A96" s="49"/>
      <c r="B96" s="49"/>
      <c r="C96" s="3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2.0" hidden="1" customHeight="1">
      <c r="A97" s="49" t="s">
        <v>83</v>
      </c>
      <c r="B97" s="49"/>
      <c r="C97" s="3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0" customHeight="1">
      <c r="A98" s="49"/>
      <c r="B98" s="49"/>
      <c r="C98" s="33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0" customHeight="1">
      <c r="A99" s="49"/>
      <c r="B99" s="49"/>
      <c r="C99" s="3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0" customHeight="1">
      <c r="A100" s="49"/>
      <c r="B100" s="49"/>
      <c r="C100" s="33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0" customHeight="1">
      <c r="A101" s="49"/>
      <c r="B101" s="49"/>
      <c r="C101" s="3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0" customHeight="1">
      <c r="A102" s="49"/>
      <c r="B102" s="49"/>
      <c r="C102" s="33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0" customHeight="1">
      <c r="A103" s="49"/>
      <c r="B103" s="49"/>
      <c r="C103" s="3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0" customHeight="1">
      <c r="A104" s="49"/>
      <c r="B104" s="49"/>
      <c r="C104" s="33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0" customHeight="1">
      <c r="A105" s="49"/>
      <c r="B105" s="49"/>
      <c r="C105" s="33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2.0" customHeight="1">
      <c r="A106" s="49"/>
      <c r="B106" s="49"/>
      <c r="C106" s="33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2.0" customHeight="1">
      <c r="A107" s="49"/>
      <c r="B107" s="49"/>
      <c r="C107" s="33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2.0" customHeight="1">
      <c r="A108" s="49"/>
      <c r="B108" s="49"/>
      <c r="C108" s="33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0" customHeight="1">
      <c r="A109" s="49"/>
      <c r="B109" s="49"/>
      <c r="C109" s="33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0" customHeight="1">
      <c r="A110" s="49"/>
      <c r="B110" s="49"/>
      <c r="C110" s="33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0" customHeight="1">
      <c r="A111" s="49"/>
      <c r="B111" s="49"/>
      <c r="C111" s="33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2.0" customHeight="1">
      <c r="A112" s="49"/>
      <c r="B112" s="49"/>
      <c r="C112" s="33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2.0" customHeight="1">
      <c r="A113" s="49"/>
      <c r="B113" s="49"/>
      <c r="C113" s="3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2.0" customHeight="1">
      <c r="A114" s="49"/>
      <c r="B114" s="49"/>
      <c r="C114" s="33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2.0" customHeight="1">
      <c r="A115" s="49"/>
      <c r="B115" s="49"/>
      <c r="C115" s="33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0" customHeight="1">
      <c r="A116" s="49"/>
      <c r="B116" s="49"/>
      <c r="C116" s="33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0" customHeight="1">
      <c r="A117" s="49"/>
      <c r="B117" s="49"/>
      <c r="C117" s="33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0" customHeight="1">
      <c r="A118" s="49"/>
      <c r="B118" s="49"/>
      <c r="C118" s="33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0" customHeight="1">
      <c r="A119" s="49"/>
      <c r="B119" s="49"/>
      <c r="C119" s="33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2.0" customHeight="1">
      <c r="A120" s="49"/>
      <c r="B120" s="49"/>
      <c r="C120" s="33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2.0" customHeight="1">
      <c r="A121" s="49"/>
      <c r="B121" s="49"/>
      <c r="C121" s="33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2.0" customHeight="1">
      <c r="A122" s="49"/>
      <c r="B122" s="49"/>
      <c r="C122" s="33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2.0" customHeight="1">
      <c r="A123" s="49"/>
      <c r="B123" s="49"/>
      <c r="C123" s="33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2.0" customHeight="1">
      <c r="A124" s="49"/>
      <c r="B124" s="49"/>
      <c r="C124" s="33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2.0" customHeight="1">
      <c r="A125" s="49"/>
      <c r="B125" s="49"/>
      <c r="C125" s="33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2.0" customHeight="1">
      <c r="A126" s="49"/>
      <c r="B126" s="49"/>
      <c r="C126" s="33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2.0" customHeight="1">
      <c r="A127" s="49"/>
      <c r="B127" s="49"/>
      <c r="C127" s="33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2.0" customHeight="1">
      <c r="A128" s="49"/>
      <c r="B128" s="49"/>
      <c r="C128" s="33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2.0" customHeight="1">
      <c r="A129" s="49"/>
      <c r="B129" s="49"/>
      <c r="C129" s="33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2.0" customHeight="1">
      <c r="A130" s="10"/>
      <c r="B130" s="10"/>
      <c r="C130" s="78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2.0" customHeight="1">
      <c r="A131" s="10"/>
      <c r="B131" s="10"/>
      <c r="C131" s="78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2.0" customHeight="1">
      <c r="A132" s="10"/>
      <c r="B132" s="10"/>
      <c r="C132" s="7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2.0" customHeight="1">
      <c r="A133" s="10"/>
      <c r="B133" s="10"/>
      <c r="C133" s="78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2.0" customHeight="1">
      <c r="A134" s="10"/>
      <c r="B134" s="10"/>
      <c r="C134" s="78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2.0" customHeight="1">
      <c r="A135" s="10"/>
      <c r="B135" s="10"/>
      <c r="C135" s="78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0" customHeight="1">
      <c r="A136" s="10"/>
      <c r="B136" s="10"/>
      <c r="C136" s="78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2.0" customHeight="1">
      <c r="A137" s="10"/>
      <c r="B137" s="10"/>
      <c r="C137" s="78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2.0" customHeight="1">
      <c r="A138" s="10"/>
      <c r="B138" s="10"/>
      <c r="C138" s="78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0" customHeight="1">
      <c r="A139" s="10"/>
      <c r="B139" s="10"/>
      <c r="C139" s="78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2.0" customHeight="1">
      <c r="A140" s="10"/>
      <c r="B140" s="10"/>
      <c r="C140" s="78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0" customHeight="1">
      <c r="A141" s="10"/>
      <c r="B141" s="10"/>
      <c r="C141" s="78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0" customHeight="1">
      <c r="A142" s="10"/>
      <c r="B142" s="10"/>
      <c r="C142" s="78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0" customHeight="1">
      <c r="A143" s="10"/>
      <c r="B143" s="10"/>
      <c r="C143" s="7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0" customHeight="1">
      <c r="A144" s="10"/>
      <c r="B144" s="10"/>
      <c r="C144" s="78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0" customHeight="1">
      <c r="A145" s="10"/>
      <c r="B145" s="10"/>
      <c r="C145" s="78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2.0" customHeight="1">
      <c r="A146" s="10"/>
      <c r="B146" s="10"/>
      <c r="C146" s="78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2.0" customHeight="1">
      <c r="A147" s="10"/>
      <c r="B147" s="10"/>
      <c r="C147" s="78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2.0" customHeight="1">
      <c r="A148" s="10"/>
      <c r="B148" s="10"/>
      <c r="C148" s="78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2.0" customHeight="1">
      <c r="A149" s="10"/>
      <c r="B149" s="10"/>
      <c r="C149" s="78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2.0" customHeight="1">
      <c r="A150" s="10"/>
      <c r="B150" s="10"/>
      <c r="C150" s="7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2.0" customHeight="1">
      <c r="A151" s="10"/>
      <c r="B151" s="10"/>
      <c r="C151" s="7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2.0" customHeight="1">
      <c r="A152" s="10"/>
      <c r="B152" s="10"/>
      <c r="C152" s="78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2.0" customHeight="1">
      <c r="A153" s="10"/>
      <c r="B153" s="10"/>
      <c r="C153" s="78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2.0" customHeight="1">
      <c r="A154" s="10"/>
      <c r="B154" s="10"/>
      <c r="C154" s="7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2.0" customHeight="1">
      <c r="A155" s="10"/>
      <c r="B155" s="10"/>
      <c r="C155" s="78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2.0" customHeight="1">
      <c r="A156" s="10"/>
      <c r="B156" s="10"/>
      <c r="C156" s="78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2.0" customHeight="1">
      <c r="A157" s="10"/>
      <c r="B157" s="10"/>
      <c r="C157" s="78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2.0" customHeight="1">
      <c r="A158" s="10"/>
      <c r="B158" s="10"/>
      <c r="C158" s="78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0" customHeight="1">
      <c r="A159" s="10"/>
      <c r="B159" s="10"/>
      <c r="C159" s="78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0" customHeight="1">
      <c r="A160" s="10"/>
      <c r="B160" s="10"/>
      <c r="C160" s="78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0" customHeight="1">
      <c r="A161" s="10"/>
      <c r="B161" s="10"/>
      <c r="C161" s="78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0" customHeight="1">
      <c r="A162" s="10"/>
      <c r="B162" s="10"/>
      <c r="C162" s="78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2.0" customHeight="1">
      <c r="A163" s="10"/>
      <c r="B163" s="10"/>
      <c r="C163" s="78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2.0" customHeight="1">
      <c r="A164" s="10"/>
      <c r="B164" s="10"/>
      <c r="C164" s="78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2.0" customHeight="1">
      <c r="A165" s="10"/>
      <c r="B165" s="10"/>
      <c r="C165" s="78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2.0" customHeight="1">
      <c r="A166" s="10"/>
      <c r="B166" s="10"/>
      <c r="C166" s="78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2.0" customHeight="1">
      <c r="A167" s="10"/>
      <c r="B167" s="10"/>
      <c r="C167" s="78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2.0" customHeight="1">
      <c r="A168" s="10"/>
      <c r="B168" s="10"/>
      <c r="C168" s="78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2.0" customHeight="1">
      <c r="A169" s="10"/>
      <c r="B169" s="10"/>
      <c r="C169" s="78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2.0" customHeight="1">
      <c r="A170" s="10"/>
      <c r="B170" s="10"/>
      <c r="C170" s="78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2.0" customHeight="1">
      <c r="A171" s="10"/>
      <c r="B171" s="10"/>
      <c r="C171" s="78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2.0" customHeight="1">
      <c r="A172" s="10"/>
      <c r="B172" s="10"/>
      <c r="C172" s="78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2.0" customHeight="1">
      <c r="A173" s="10"/>
      <c r="B173" s="10"/>
      <c r="C173" s="78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2.0" customHeight="1">
      <c r="A174" s="10"/>
      <c r="B174" s="10"/>
      <c r="C174" s="78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2.0" customHeight="1">
      <c r="A175" s="10"/>
      <c r="B175" s="10"/>
      <c r="C175" s="78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2.0" customHeight="1">
      <c r="A176" s="10"/>
      <c r="B176" s="10"/>
      <c r="C176" s="78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2.0" customHeight="1">
      <c r="A177" s="10"/>
      <c r="B177" s="10"/>
      <c r="C177" s="78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2.0" customHeight="1">
      <c r="A178" s="10"/>
      <c r="B178" s="10"/>
      <c r="C178" s="78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2.0" customHeight="1">
      <c r="A179" s="10"/>
      <c r="B179" s="10"/>
      <c r="C179" s="78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2.0" customHeight="1">
      <c r="A180" s="10"/>
      <c r="B180" s="10"/>
      <c r="C180" s="78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2.0" customHeight="1">
      <c r="A181" s="10"/>
      <c r="B181" s="10"/>
      <c r="C181" s="78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2.0" customHeight="1">
      <c r="A182" s="10"/>
      <c r="B182" s="10"/>
      <c r="C182" s="78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2.0" customHeight="1">
      <c r="A183" s="10"/>
      <c r="B183" s="10"/>
      <c r="C183" s="78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2.0" customHeight="1">
      <c r="A184" s="10"/>
      <c r="B184" s="10"/>
      <c r="C184" s="78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2.0" customHeight="1">
      <c r="A185" s="10"/>
      <c r="B185" s="10"/>
      <c r="C185" s="78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2.0" customHeight="1">
      <c r="A186" s="10"/>
      <c r="B186" s="10"/>
      <c r="C186" s="7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2.0" customHeight="1">
      <c r="A187" s="10"/>
      <c r="B187" s="10"/>
      <c r="C187" s="78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2.0" customHeight="1">
      <c r="A188" s="10"/>
      <c r="B188" s="10"/>
      <c r="C188" s="78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2.0" customHeight="1">
      <c r="A189" s="10"/>
      <c r="B189" s="10"/>
      <c r="C189" s="78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2.0" customHeight="1">
      <c r="A190" s="10"/>
      <c r="B190" s="10"/>
      <c r="C190" s="78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2.0" customHeight="1">
      <c r="A191" s="10"/>
      <c r="B191" s="10"/>
      <c r="C191" s="78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2.0" customHeight="1">
      <c r="A192" s="10"/>
      <c r="B192" s="10"/>
      <c r="C192" s="78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2.0" customHeight="1">
      <c r="A193" s="10"/>
      <c r="B193" s="10"/>
      <c r="C193" s="7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2.0" customHeight="1">
      <c r="A194" s="10"/>
      <c r="B194" s="10"/>
      <c r="C194" s="78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2.0" customHeight="1">
      <c r="A195" s="10"/>
      <c r="B195" s="10"/>
      <c r="C195" s="78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2.0" customHeight="1">
      <c r="A196" s="10"/>
      <c r="B196" s="10"/>
      <c r="C196" s="78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2.0" customHeight="1">
      <c r="A197" s="10"/>
      <c r="B197" s="10"/>
      <c r="C197" s="78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2.0" customHeight="1">
      <c r="A198" s="10"/>
      <c r="B198" s="10"/>
      <c r="C198" s="78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2.0" customHeight="1">
      <c r="A199" s="10"/>
      <c r="B199" s="10"/>
      <c r="C199" s="78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2.0" customHeight="1">
      <c r="A200" s="10"/>
      <c r="B200" s="10"/>
      <c r="C200" s="78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2.0" customHeight="1">
      <c r="A201" s="10"/>
      <c r="B201" s="10"/>
      <c r="C201" s="78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2.0" customHeight="1">
      <c r="A202" s="10"/>
      <c r="B202" s="10"/>
      <c r="C202" s="7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2.0" customHeight="1">
      <c r="A203" s="10"/>
      <c r="B203" s="10"/>
      <c r="C203" s="7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2.0" customHeight="1">
      <c r="A204" s="10"/>
      <c r="B204" s="10"/>
      <c r="C204" s="78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2.0" customHeight="1">
      <c r="A205" s="10"/>
      <c r="B205" s="10"/>
      <c r="C205" s="7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2.0" customHeight="1">
      <c r="A206" s="10"/>
      <c r="B206" s="10"/>
      <c r="C206" s="78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2.0" customHeight="1">
      <c r="A207" s="10"/>
      <c r="B207" s="10"/>
      <c r="C207" s="78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2.0" customHeight="1">
      <c r="A208" s="10"/>
      <c r="B208" s="10"/>
      <c r="C208" s="78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2.0" customHeight="1">
      <c r="A209" s="10"/>
      <c r="B209" s="10"/>
      <c r="C209" s="7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2.0" customHeight="1">
      <c r="A210" s="10"/>
      <c r="B210" s="10"/>
      <c r="C210" s="78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0" customHeight="1">
      <c r="A211" s="10"/>
      <c r="B211" s="10"/>
      <c r="C211" s="78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0" customHeight="1">
      <c r="A212" s="10"/>
      <c r="B212" s="10"/>
      <c r="C212" s="78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2.0" customHeight="1">
      <c r="A213" s="10"/>
      <c r="B213" s="10"/>
      <c r="C213" s="78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2.0" customHeight="1">
      <c r="A214" s="10"/>
      <c r="B214" s="10"/>
      <c r="C214" s="7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2.0" customHeight="1">
      <c r="A215" s="10"/>
      <c r="B215" s="10"/>
      <c r="C215" s="7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0" customHeight="1">
      <c r="A216" s="10"/>
      <c r="B216" s="10"/>
      <c r="C216" s="78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0" customHeight="1">
      <c r="A217" s="10"/>
      <c r="B217" s="10"/>
      <c r="C217" s="7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2.0" customHeight="1">
      <c r="A218" s="10"/>
      <c r="B218" s="10"/>
      <c r="C218" s="78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2.0" customHeight="1">
      <c r="A219" s="10"/>
      <c r="B219" s="10"/>
      <c r="C219" s="78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2.0" customHeight="1">
      <c r="A220" s="10"/>
      <c r="B220" s="10"/>
      <c r="C220" s="78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2.0" customHeight="1">
      <c r="A221" s="10"/>
      <c r="B221" s="10"/>
      <c r="C221" s="7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2.0" customHeight="1">
      <c r="A222" s="10"/>
      <c r="B222" s="10"/>
      <c r="C222" s="78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2.0" customHeight="1">
      <c r="A223" s="10"/>
      <c r="B223" s="10"/>
      <c r="C223" s="78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2.0" customHeight="1">
      <c r="A224" s="10"/>
      <c r="B224" s="10"/>
      <c r="C224" s="78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2.0" customHeight="1">
      <c r="A225" s="10"/>
      <c r="B225" s="10"/>
      <c r="C225" s="78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2.0" customHeight="1">
      <c r="A226" s="10"/>
      <c r="B226" s="10"/>
      <c r="C226" s="78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2.0" customHeight="1">
      <c r="A227" s="10"/>
      <c r="B227" s="10"/>
      <c r="C227" s="78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2.0" customHeight="1">
      <c r="A228" s="10"/>
      <c r="B228" s="10"/>
      <c r="C228" s="78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2.0" customHeight="1">
      <c r="A229" s="10"/>
      <c r="B229" s="10"/>
      <c r="C229" s="78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2.0" customHeight="1">
      <c r="A230" s="10"/>
      <c r="B230" s="10"/>
      <c r="C230" s="78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2.0" customHeight="1">
      <c r="A231" s="10"/>
      <c r="B231" s="10"/>
      <c r="C231" s="78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2.0" customHeight="1">
      <c r="A232" s="10"/>
      <c r="B232" s="10"/>
      <c r="C232" s="7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0" customHeight="1">
      <c r="A233" s="10"/>
      <c r="B233" s="10"/>
      <c r="C233" s="7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0" customHeight="1">
      <c r="A234" s="10"/>
      <c r="B234" s="10"/>
      <c r="C234" s="78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0" customHeight="1">
      <c r="A235" s="10"/>
      <c r="B235" s="10"/>
      <c r="C235" s="78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0" customHeight="1">
      <c r="A236" s="10"/>
      <c r="B236" s="10"/>
      <c r="C236" s="78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2.0" customHeight="1">
      <c r="A237" s="10"/>
      <c r="B237" s="10"/>
      <c r="C237" s="78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2.0" customHeight="1">
      <c r="A238" s="10"/>
      <c r="B238" s="10"/>
      <c r="C238" s="7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2.0" customHeight="1">
      <c r="A239" s="10"/>
      <c r="B239" s="10"/>
      <c r="C239" s="78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2.0" customHeight="1">
      <c r="A240" s="10"/>
      <c r="B240" s="10"/>
      <c r="C240" s="78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2.0" customHeight="1">
      <c r="A241" s="10"/>
      <c r="B241" s="10"/>
      <c r="C241" s="78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2.0" customHeight="1">
      <c r="A242" s="10"/>
      <c r="B242" s="10"/>
      <c r="C242" s="78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2.0" customHeight="1">
      <c r="A243" s="10"/>
      <c r="B243" s="10"/>
      <c r="C243" s="78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2.0" customHeight="1">
      <c r="A244" s="10"/>
      <c r="B244" s="10"/>
      <c r="C244" s="78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2.0" customHeight="1">
      <c r="A245" s="10"/>
      <c r="B245" s="10"/>
      <c r="C245" s="78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2.0" customHeight="1">
      <c r="A246" s="10"/>
      <c r="B246" s="10"/>
      <c r="C246" s="78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2.0" customHeight="1">
      <c r="A247" s="10"/>
      <c r="B247" s="10"/>
      <c r="C247" s="78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2.0" customHeight="1">
      <c r="A248" s="10"/>
      <c r="B248" s="10"/>
      <c r="C248" s="78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2.0" customHeight="1">
      <c r="A249" s="10"/>
      <c r="B249" s="10"/>
      <c r="C249" s="78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2.0" customHeight="1">
      <c r="A250" s="10"/>
      <c r="B250" s="10"/>
      <c r="C250" s="78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2.0" customHeight="1">
      <c r="A251" s="10"/>
      <c r="B251" s="10"/>
      <c r="C251" s="78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2.0" customHeight="1">
      <c r="A252" s="10"/>
      <c r="B252" s="10"/>
      <c r="C252" s="78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2.0" customHeight="1">
      <c r="A253" s="10"/>
      <c r="B253" s="10"/>
      <c r="C253" s="78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2.0" customHeight="1">
      <c r="A254" s="10"/>
      <c r="B254" s="10"/>
      <c r="C254" s="78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2.0" customHeight="1">
      <c r="A255" s="10"/>
      <c r="B255" s="10"/>
      <c r="C255" s="78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2.0" customHeight="1">
      <c r="A256" s="10"/>
      <c r="B256" s="10"/>
      <c r="C256" s="78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2.0" customHeight="1">
      <c r="A257" s="10"/>
      <c r="B257" s="10"/>
      <c r="C257" s="78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2.0" customHeight="1">
      <c r="A258" s="10"/>
      <c r="B258" s="10"/>
      <c r="C258" s="78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2.0" customHeight="1">
      <c r="A259" s="10"/>
      <c r="B259" s="10"/>
      <c r="C259" s="78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2.0" customHeight="1">
      <c r="A260" s="10"/>
      <c r="B260" s="10"/>
      <c r="C260" s="78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2.0" customHeight="1">
      <c r="A261" s="10"/>
      <c r="B261" s="10"/>
      <c r="C261" s="78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2.0" customHeight="1">
      <c r="A262" s="10"/>
      <c r="B262" s="10"/>
      <c r="C262" s="78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2.0" customHeight="1">
      <c r="A263" s="10"/>
      <c r="B263" s="10"/>
      <c r="C263" s="78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2.0" customHeight="1">
      <c r="A264" s="10"/>
      <c r="B264" s="10"/>
      <c r="C264" s="78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2.0" customHeight="1">
      <c r="A265" s="10"/>
      <c r="B265" s="10"/>
      <c r="C265" s="78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2.0" customHeight="1">
      <c r="A266" s="10"/>
      <c r="B266" s="10"/>
      <c r="C266" s="78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2.0" customHeight="1">
      <c r="A267" s="10"/>
      <c r="B267" s="10"/>
      <c r="C267" s="78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0" customHeight="1">
      <c r="A268" s="10"/>
      <c r="B268" s="10"/>
      <c r="C268" s="78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2.0" customHeight="1">
      <c r="A269" s="10"/>
      <c r="B269" s="10"/>
      <c r="C269" s="78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2.0" customHeight="1">
      <c r="A270" s="10"/>
      <c r="B270" s="10"/>
      <c r="C270" s="78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2.0" customHeight="1">
      <c r="A271" s="10"/>
      <c r="B271" s="10"/>
      <c r="C271" s="78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2.0" customHeight="1">
      <c r="A272" s="10"/>
      <c r="B272" s="10"/>
      <c r="C272" s="78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2.0" customHeight="1">
      <c r="A273" s="10"/>
      <c r="B273" s="10"/>
      <c r="C273" s="78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2.0" customHeight="1">
      <c r="A274" s="10"/>
      <c r="B274" s="10"/>
      <c r="C274" s="78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2.0" customHeight="1">
      <c r="A275" s="10"/>
      <c r="B275" s="10"/>
      <c r="C275" s="78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2.0" customHeight="1">
      <c r="A276" s="10"/>
      <c r="B276" s="10"/>
      <c r="C276" s="78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2.0" customHeight="1">
      <c r="A277" s="10"/>
      <c r="B277" s="10"/>
      <c r="C277" s="78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2.0" customHeight="1">
      <c r="A278" s="10"/>
      <c r="B278" s="10"/>
      <c r="C278" s="78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2.0" customHeight="1">
      <c r="A279" s="10"/>
      <c r="B279" s="10"/>
      <c r="C279" s="78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2.0" customHeight="1">
      <c r="A280" s="10"/>
      <c r="B280" s="10"/>
      <c r="C280" s="78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2.0" customHeight="1">
      <c r="A281" s="10"/>
      <c r="B281" s="10"/>
      <c r="C281" s="78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2.0" customHeight="1">
      <c r="A282" s="10"/>
      <c r="B282" s="10"/>
      <c r="C282" s="78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2.0" customHeight="1">
      <c r="A283" s="10"/>
      <c r="B283" s="10"/>
      <c r="C283" s="78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2.0" customHeight="1">
      <c r="A284" s="10"/>
      <c r="B284" s="10"/>
      <c r="C284" s="78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2.0" customHeight="1">
      <c r="A285" s="10"/>
      <c r="B285" s="10"/>
      <c r="C285" s="78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2.0" customHeight="1">
      <c r="A286" s="10"/>
      <c r="B286" s="10"/>
      <c r="C286" s="78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2.0" customHeight="1">
      <c r="A287" s="10"/>
      <c r="B287" s="10"/>
      <c r="C287" s="78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2.0" customHeight="1">
      <c r="A288" s="10"/>
      <c r="B288" s="10"/>
      <c r="C288" s="78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2.0" customHeight="1">
      <c r="A289" s="10"/>
      <c r="B289" s="10"/>
      <c r="C289" s="78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2.0" customHeight="1">
      <c r="A290" s="10"/>
      <c r="B290" s="10"/>
      <c r="C290" s="78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2.0" customHeight="1">
      <c r="A291" s="10"/>
      <c r="B291" s="10"/>
      <c r="C291" s="78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2.0" customHeight="1">
      <c r="A292" s="10"/>
      <c r="B292" s="10"/>
      <c r="C292" s="78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2.0" customHeight="1">
      <c r="A293" s="10"/>
      <c r="B293" s="10"/>
      <c r="C293" s="78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2.0" customHeight="1">
      <c r="A294" s="10"/>
      <c r="B294" s="10"/>
      <c r="C294" s="78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2.0" customHeight="1">
      <c r="A295" s="10"/>
      <c r="B295" s="10"/>
      <c r="C295" s="78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2.0" customHeight="1">
      <c r="A296" s="10"/>
      <c r="B296" s="10"/>
      <c r="C296" s="78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2.0" customHeight="1">
      <c r="A297" s="10"/>
      <c r="B297" s="10"/>
      <c r="C297" s="78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0.75"/>
    <col customWidth="1" min="2" max="2" width="1.38"/>
    <col customWidth="1" min="3" max="3" width="20.25"/>
    <col customWidth="1" min="4" max="4" width="25.0"/>
    <col customWidth="1" min="5" max="5" width="19.75"/>
    <col customWidth="1" hidden="1" min="6" max="6" width="4.0"/>
    <col customWidth="1" hidden="1" min="7" max="7" width="23.75"/>
    <col customWidth="1" hidden="1" min="8" max="9" width="17.75"/>
    <col customWidth="1" hidden="1" min="10" max="10" width="0.38"/>
    <col customWidth="1" hidden="1" min="11" max="11" width="17.75"/>
    <col customWidth="1" hidden="1" min="12" max="12" width="24.25"/>
    <col customWidth="1" min="13" max="13" width="15.38"/>
    <col customWidth="1" min="14" max="15" width="15.13"/>
    <col customWidth="1" min="16" max="26" width="10.0"/>
  </cols>
  <sheetData>
    <row r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0</v>
      </c>
      <c r="B2" s="6"/>
      <c r="C2" s="143" t="s">
        <v>129</v>
      </c>
      <c r="D2" s="144" t="s">
        <v>130</v>
      </c>
      <c r="E2" s="145" t="s">
        <v>3</v>
      </c>
      <c r="F2" s="10"/>
      <c r="G2" s="10" t="s">
        <v>101</v>
      </c>
      <c r="H2" s="10" t="s">
        <v>102</v>
      </c>
      <c r="I2" s="10" t="s">
        <v>103</v>
      </c>
      <c r="J2" s="10"/>
      <c r="K2" s="10" t="s">
        <v>104</v>
      </c>
      <c r="L2" s="10"/>
      <c r="M2" s="4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2.75" customHeight="1">
      <c r="A3" s="13" t="s">
        <v>5</v>
      </c>
      <c r="B3" s="14"/>
      <c r="C3" s="146"/>
      <c r="D3" s="17"/>
      <c r="E3" s="17"/>
      <c r="F3" s="100"/>
      <c r="G3" s="10"/>
      <c r="H3" s="10"/>
      <c r="I3" s="10"/>
      <c r="J3" s="10"/>
      <c r="K3" s="101"/>
      <c r="L3" s="10" t="s">
        <v>131</v>
      </c>
      <c r="M3" s="49"/>
      <c r="N3" s="147">
        <v>44377.0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2.0" customHeight="1">
      <c r="A4" s="18" t="s">
        <v>6</v>
      </c>
      <c r="B4" s="14"/>
      <c r="C4" s="148">
        <v>9356.17</v>
      </c>
      <c r="D4" s="148">
        <v>9356.17</v>
      </c>
      <c r="E4" s="21"/>
      <c r="F4" s="70"/>
      <c r="G4" s="101"/>
      <c r="H4" s="101"/>
      <c r="I4" s="101"/>
      <c r="J4" s="10"/>
      <c r="K4" s="101"/>
      <c r="L4" s="10"/>
      <c r="M4" s="4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2.0" customHeight="1">
      <c r="A5" s="18" t="s">
        <v>7</v>
      </c>
      <c r="B5" s="14"/>
      <c r="C5" s="148">
        <v>200.0</v>
      </c>
      <c r="D5" s="21">
        <f>97.5+22</f>
        <v>119.5</v>
      </c>
      <c r="E5" s="24">
        <f t="shared" ref="E5:E18" si="1">(D5-C5)</f>
        <v>-80.5</v>
      </c>
      <c r="F5" s="70"/>
      <c r="G5" s="101"/>
      <c r="H5" s="103"/>
      <c r="I5" s="103"/>
      <c r="J5" s="10"/>
      <c r="K5" s="101"/>
      <c r="L5" s="10"/>
      <c r="M5" s="4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2.0" customHeight="1">
      <c r="A6" s="18" t="s">
        <v>8</v>
      </c>
      <c r="B6" s="14"/>
      <c r="C6" s="149">
        <v>18000.0</v>
      </c>
      <c r="D6" s="150">
        <v>17965.0</v>
      </c>
      <c r="E6" s="24">
        <f t="shared" si="1"/>
        <v>-35</v>
      </c>
      <c r="F6" s="70"/>
      <c r="G6" s="104"/>
      <c r="H6" s="104"/>
      <c r="I6" s="105"/>
      <c r="J6" s="10"/>
      <c r="K6" s="104"/>
      <c r="L6" s="26"/>
      <c r="M6" s="33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12.0" customHeight="1">
      <c r="A7" s="18" t="s">
        <v>10</v>
      </c>
      <c r="B7" s="14"/>
      <c r="C7" s="149">
        <v>1000.0</v>
      </c>
      <c r="D7" s="21">
        <f>75+144+165.07+100+200+360</f>
        <v>1044.07</v>
      </c>
      <c r="E7" s="24">
        <f t="shared" si="1"/>
        <v>44.07</v>
      </c>
      <c r="F7" s="70"/>
      <c r="G7" s="104"/>
      <c r="H7" s="104"/>
      <c r="I7" s="105"/>
      <c r="J7" s="10"/>
      <c r="K7" s="104"/>
      <c r="L7" s="26"/>
      <c r="M7" s="10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12.0" customHeight="1">
      <c r="A8" s="18" t="s">
        <v>11</v>
      </c>
      <c r="B8" s="14"/>
      <c r="C8" s="149">
        <v>500.0</v>
      </c>
      <c r="D8" s="151">
        <f>312.44+384.82</f>
        <v>697.26</v>
      </c>
      <c r="E8" s="24">
        <f t="shared" si="1"/>
        <v>197.26</v>
      </c>
      <c r="F8" s="70"/>
      <c r="G8" s="105"/>
      <c r="H8" s="26"/>
      <c r="I8" s="26"/>
      <c r="J8" s="10"/>
      <c r="K8" s="26"/>
      <c r="L8" s="26"/>
      <c r="M8" s="115" t="s">
        <v>132</v>
      </c>
      <c r="N8" s="152"/>
      <c r="O8" s="33"/>
      <c r="P8" s="33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2.0" customHeight="1">
      <c r="A9" s="18" t="s">
        <v>12</v>
      </c>
      <c r="B9" s="14"/>
      <c r="C9" s="149">
        <v>0.0</v>
      </c>
      <c r="D9" s="151">
        <v>64.88</v>
      </c>
      <c r="E9" s="24">
        <f t="shared" si="1"/>
        <v>64.88</v>
      </c>
      <c r="F9" s="70"/>
      <c r="G9" s="105"/>
      <c r="H9" s="26"/>
      <c r="I9" s="26"/>
      <c r="J9" s="10"/>
      <c r="K9" s="26"/>
      <c r="L9" s="26"/>
      <c r="M9" s="12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2.0" customHeight="1">
      <c r="A10" s="18" t="s">
        <v>86</v>
      </c>
      <c r="B10" s="14"/>
      <c r="C10" s="149">
        <v>200.0</v>
      </c>
      <c r="D10" s="21">
        <f>64.76+77.14+75.89</f>
        <v>217.79</v>
      </c>
      <c r="E10" s="24">
        <f t="shared" si="1"/>
        <v>17.79</v>
      </c>
      <c r="F10" s="70"/>
      <c r="G10" s="104"/>
      <c r="H10" s="104"/>
      <c r="I10" s="105"/>
      <c r="J10" s="10"/>
      <c r="K10" s="104"/>
      <c r="L10" s="26"/>
      <c r="M10" s="108" t="s">
        <v>133</v>
      </c>
      <c r="N10" s="153">
        <v>6028.17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2.0" customHeight="1">
      <c r="A11" s="18" t="s">
        <v>13</v>
      </c>
      <c r="B11" s="14"/>
      <c r="C11" s="149">
        <v>1500.0</v>
      </c>
      <c r="D11" s="154">
        <v>0.0</v>
      </c>
      <c r="E11" s="24">
        <f t="shared" si="1"/>
        <v>-1500</v>
      </c>
      <c r="F11" s="70"/>
      <c r="G11" s="104"/>
      <c r="H11" s="104"/>
      <c r="I11" s="105"/>
      <c r="J11" s="10"/>
      <c r="K11" s="104"/>
      <c r="L11" s="26"/>
      <c r="M11" s="108" t="s">
        <v>134</v>
      </c>
      <c r="N11" s="153">
        <v>3020.8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2.0" customHeight="1">
      <c r="A12" s="18" t="s">
        <v>14</v>
      </c>
      <c r="B12" s="14"/>
      <c r="C12" s="148">
        <v>165.0</v>
      </c>
      <c r="D12" s="21">
        <v>155.0</v>
      </c>
      <c r="E12" s="24">
        <f t="shared" si="1"/>
        <v>-10</v>
      </c>
      <c r="F12" s="70"/>
      <c r="G12" s="26"/>
      <c r="H12" s="26"/>
      <c r="I12" s="26"/>
      <c r="J12" s="10"/>
      <c r="K12" s="104"/>
      <c r="L12" s="26"/>
      <c r="M12" s="106"/>
      <c r="N12" s="155">
        <f>SUM(N10:N11)</f>
        <v>9048.97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2.0" customHeight="1">
      <c r="A13" s="18" t="s">
        <v>135</v>
      </c>
      <c r="B13" s="14"/>
      <c r="C13" s="148">
        <v>0.0</v>
      </c>
      <c r="D13" s="154"/>
      <c r="E13" s="24">
        <f t="shared" si="1"/>
        <v>0</v>
      </c>
      <c r="F13" s="70"/>
      <c r="G13" s="26"/>
      <c r="H13" s="26"/>
      <c r="I13" s="26"/>
      <c r="J13" s="10"/>
      <c r="K13" s="26"/>
      <c r="L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2.0" customHeight="1">
      <c r="A14" s="18" t="s">
        <v>107</v>
      </c>
      <c r="B14" s="14"/>
      <c r="C14" s="148">
        <v>200.0</v>
      </c>
      <c r="D14" s="21">
        <f>13*25</f>
        <v>325</v>
      </c>
      <c r="E14" s="24">
        <f t="shared" si="1"/>
        <v>125</v>
      </c>
      <c r="F14" s="70"/>
      <c r="G14" s="104"/>
      <c r="H14" s="105"/>
      <c r="I14" s="105"/>
      <c r="J14" s="10"/>
      <c r="K14" s="104"/>
      <c r="L14" s="26"/>
      <c r="M14" s="3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2.0" customHeight="1">
      <c r="A15" s="18" t="s">
        <v>19</v>
      </c>
      <c r="B15" s="14"/>
      <c r="C15" s="148">
        <v>100.0</v>
      </c>
      <c r="D15" s="156">
        <v>2047.85</v>
      </c>
      <c r="E15" s="24">
        <f t="shared" si="1"/>
        <v>1947.85</v>
      </c>
      <c r="F15" s="70"/>
      <c r="G15" s="104"/>
      <c r="H15" s="105"/>
      <c r="I15" s="105"/>
      <c r="J15" s="10"/>
      <c r="K15" s="104"/>
      <c r="L15" s="26"/>
      <c r="M15" s="26"/>
      <c r="N15" s="117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2.0" customHeight="1">
      <c r="A16" s="18" t="s">
        <v>20</v>
      </c>
      <c r="B16" s="14"/>
      <c r="C16" s="148"/>
      <c r="D16" s="157">
        <v>2288.79</v>
      </c>
      <c r="E16" s="24">
        <f t="shared" si="1"/>
        <v>2288.79</v>
      </c>
      <c r="F16" s="70"/>
      <c r="G16" s="104"/>
      <c r="H16" s="105"/>
      <c r="I16" s="105"/>
      <c r="J16" s="10"/>
      <c r="K16" s="104"/>
      <c r="L16" s="26"/>
      <c r="M16" s="26"/>
      <c r="N16" s="117"/>
      <c r="O16" s="118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2.0" customHeight="1">
      <c r="A17" s="18" t="s">
        <v>21</v>
      </c>
      <c r="B17" s="14"/>
      <c r="C17" s="148">
        <v>2.0</v>
      </c>
      <c r="D17" s="21">
        <f>0.38+0.5+0.46+0.31</f>
        <v>1.65</v>
      </c>
      <c r="E17" s="24">
        <f t="shared" si="1"/>
        <v>-0.35</v>
      </c>
      <c r="F17" s="70"/>
      <c r="G17" s="26"/>
      <c r="H17" s="104"/>
      <c r="I17" s="26"/>
      <c r="J17" s="10"/>
      <c r="K17" s="104"/>
      <c r="L17" s="26"/>
      <c r="M17" s="3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2.0" customHeight="1">
      <c r="A18" s="35" t="s">
        <v>22</v>
      </c>
      <c r="B18" s="36"/>
      <c r="C18" s="37">
        <f t="shared" ref="C18:D18" si="2">SUM(C4:C17)</f>
        <v>31223.17</v>
      </c>
      <c r="D18" s="158">
        <f t="shared" si="2"/>
        <v>34282.96</v>
      </c>
      <c r="E18" s="120">
        <f t="shared" si="1"/>
        <v>3059.79</v>
      </c>
      <c r="F18" s="121"/>
      <c r="G18" s="122">
        <f t="shared" ref="G18:K18" si="3">SUM(G4:G14)</f>
        <v>0</v>
      </c>
      <c r="H18" s="122">
        <f t="shared" si="3"/>
        <v>0</v>
      </c>
      <c r="I18" s="122">
        <f t="shared" si="3"/>
        <v>0</v>
      </c>
      <c r="J18" s="122">
        <f t="shared" si="3"/>
        <v>0</v>
      </c>
      <c r="K18" s="122">
        <f t="shared" si="3"/>
        <v>0</v>
      </c>
      <c r="L18" s="10"/>
      <c r="M18" s="10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2.0" customHeight="1">
      <c r="A19" s="159"/>
      <c r="B19" s="160"/>
      <c r="C19" s="161"/>
      <c r="D19" s="161"/>
      <c r="E19" s="161"/>
      <c r="F19" s="162"/>
      <c r="G19" s="162"/>
      <c r="H19" s="162"/>
      <c r="I19" s="162"/>
      <c r="J19" s="162"/>
      <c r="K19" s="162"/>
      <c r="L19" s="10"/>
      <c r="M19" s="106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1.25" customHeight="1">
      <c r="A20" s="86" t="s">
        <v>24</v>
      </c>
      <c r="B20" s="14"/>
      <c r="C20" s="148"/>
      <c r="D20" s="21"/>
      <c r="E20" s="21">
        <f t="shared" ref="E20:E24" si="4">C20-D20</f>
        <v>0</v>
      </c>
      <c r="F20" s="70"/>
      <c r="G20" s="10"/>
      <c r="H20" s="10"/>
      <c r="I20" s="10"/>
      <c r="J20" s="10"/>
      <c r="K20" s="10"/>
      <c r="L20" s="10"/>
      <c r="M20" s="12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2.0" customHeight="1">
      <c r="A21" s="41" t="s">
        <v>25</v>
      </c>
      <c r="B21" s="14"/>
      <c r="C21" s="148"/>
      <c r="D21" s="21"/>
      <c r="E21" s="21">
        <f t="shared" si="4"/>
        <v>0</v>
      </c>
      <c r="F21" s="70"/>
      <c r="G21" s="10"/>
      <c r="H21" s="10"/>
      <c r="I21" s="10"/>
      <c r="J21" s="10"/>
      <c r="K21" s="101"/>
      <c r="L21" s="10"/>
      <c r="M21" s="10"/>
      <c r="N21" s="7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2.0" customHeight="1">
      <c r="A22" s="18" t="s">
        <v>26</v>
      </c>
      <c r="B22" s="14"/>
      <c r="C22" s="148">
        <v>150.0</v>
      </c>
      <c r="D22" s="21"/>
      <c r="E22" s="21">
        <f t="shared" si="4"/>
        <v>150</v>
      </c>
      <c r="F22" s="70"/>
      <c r="G22" s="101"/>
      <c r="H22" s="101"/>
      <c r="I22" s="101"/>
      <c r="J22" s="10"/>
      <c r="K22" s="101"/>
      <c r="L22" s="10"/>
      <c r="M22" s="10"/>
      <c r="N22" s="163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2.0" customHeight="1">
      <c r="A23" s="18" t="s">
        <v>27</v>
      </c>
      <c r="B23" s="14"/>
      <c r="C23" s="148">
        <v>0.0</v>
      </c>
      <c r="D23" s="21"/>
      <c r="E23" s="21">
        <f t="shared" si="4"/>
        <v>0</v>
      </c>
      <c r="F23" s="70"/>
      <c r="G23" s="101"/>
      <c r="H23" s="103"/>
      <c r="I23" s="103"/>
      <c r="J23" s="10"/>
      <c r="K23" s="101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2.0" customHeight="1">
      <c r="A24" s="18" t="s">
        <v>28</v>
      </c>
      <c r="B24" s="14"/>
      <c r="C24" s="149">
        <v>1500.0</v>
      </c>
      <c r="D24" s="21"/>
      <c r="E24" s="21">
        <f t="shared" si="4"/>
        <v>1500</v>
      </c>
      <c r="F24" s="7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2.0" customHeight="1">
      <c r="A25" s="18" t="s">
        <v>29</v>
      </c>
      <c r="B25" s="14"/>
      <c r="C25" s="148">
        <v>0.0</v>
      </c>
      <c r="D25" s="21"/>
      <c r="E25" s="21">
        <v>0.0</v>
      </c>
      <c r="F25" s="70"/>
      <c r="G25" s="101"/>
      <c r="H25" s="103"/>
      <c r="I25" s="103"/>
      <c r="J25" s="10"/>
      <c r="K25" s="101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2.0" customHeight="1">
      <c r="A26" s="43" t="s">
        <v>110</v>
      </c>
      <c r="B26" s="14"/>
      <c r="C26" s="149">
        <v>2500.0</v>
      </c>
      <c r="D26" s="21">
        <f>49*50</f>
        <v>2450</v>
      </c>
      <c r="E26" s="21">
        <f t="shared" ref="E26:E45" si="6">C26-D26</f>
        <v>50</v>
      </c>
      <c r="F26" s="70"/>
      <c r="G26" s="101"/>
      <c r="H26" s="103"/>
      <c r="I26" s="103"/>
      <c r="J26" s="10"/>
      <c r="K26" s="101"/>
      <c r="L26" s="10"/>
      <c r="M26" s="164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8.75" customHeight="1">
      <c r="A27" s="41" t="s">
        <v>31</v>
      </c>
      <c r="B27" s="44"/>
      <c r="C27" s="55">
        <f t="shared" ref="C27:D27" si="5">SUM(C22:C26)</f>
        <v>4150</v>
      </c>
      <c r="D27" s="55">
        <f t="shared" si="5"/>
        <v>2450</v>
      </c>
      <c r="E27" s="47">
        <f t="shared" si="6"/>
        <v>1700</v>
      </c>
      <c r="F27" s="44"/>
      <c r="G27" s="44">
        <f t="shared" ref="G27:K27" si="7">SUM(G21:G26)</f>
        <v>0</v>
      </c>
      <c r="H27" s="44">
        <f t="shared" si="7"/>
        <v>0</v>
      </c>
      <c r="I27" s="44">
        <f t="shared" si="7"/>
        <v>0</v>
      </c>
      <c r="J27" s="44">
        <f t="shared" si="7"/>
        <v>0</v>
      </c>
      <c r="K27" s="44">
        <f t="shared" si="7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4.25" customHeight="1">
      <c r="A28" s="18"/>
      <c r="B28" s="48"/>
      <c r="C28" s="148"/>
      <c r="D28" s="21"/>
      <c r="E28" s="21">
        <f t="shared" si="6"/>
        <v>0</v>
      </c>
      <c r="F28" s="7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2.0" customHeight="1">
      <c r="A29" s="41" t="s">
        <v>32</v>
      </c>
      <c r="B29" s="48"/>
      <c r="C29" s="148"/>
      <c r="D29" s="21"/>
      <c r="E29" s="21">
        <f t="shared" si="6"/>
        <v>0</v>
      </c>
      <c r="F29" s="7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2.0" customHeight="1">
      <c r="A30" s="18" t="s">
        <v>33</v>
      </c>
      <c r="B30" s="48"/>
      <c r="C30" s="148">
        <v>800.0</v>
      </c>
      <c r="D30" s="21">
        <v>450.0</v>
      </c>
      <c r="E30" s="21">
        <f t="shared" si="6"/>
        <v>350</v>
      </c>
      <c r="F30" s="70"/>
      <c r="G30" s="10" t="s">
        <v>111</v>
      </c>
      <c r="H30" s="10"/>
      <c r="I30" s="10"/>
      <c r="J30" s="10"/>
      <c r="K30" s="10">
        <v>0.0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2.0" customHeight="1">
      <c r="A31" s="18" t="s">
        <v>112</v>
      </c>
      <c r="B31" s="48"/>
      <c r="C31" s="148">
        <v>200.0</v>
      </c>
      <c r="D31" s="21">
        <f>83.73+102</f>
        <v>185.73</v>
      </c>
      <c r="E31" s="21">
        <f t="shared" si="6"/>
        <v>14.27</v>
      </c>
      <c r="F31" s="70"/>
      <c r="G31" s="101"/>
      <c r="H31" s="101"/>
      <c r="I31" s="101"/>
      <c r="J31" s="10"/>
      <c r="K31" s="101"/>
      <c r="L31" s="10"/>
      <c r="M31" s="10"/>
      <c r="N31" s="49"/>
      <c r="O31" s="49"/>
      <c r="P31" s="49"/>
      <c r="Q31" s="49"/>
      <c r="R31" s="10"/>
      <c r="S31" s="10"/>
      <c r="T31" s="10"/>
      <c r="U31" s="10"/>
      <c r="V31" s="10"/>
      <c r="W31" s="10"/>
      <c r="X31" s="10"/>
      <c r="Y31" s="10"/>
      <c r="Z31" s="10"/>
    </row>
    <row r="32" ht="12.0" customHeight="1">
      <c r="A32" s="18" t="s">
        <v>136</v>
      </c>
      <c r="B32" s="48"/>
      <c r="C32" s="148">
        <v>2400.0</v>
      </c>
      <c r="D32" s="21">
        <f>290.92+21.22+260.82+1310+1214+419.81</f>
        <v>3516.77</v>
      </c>
      <c r="E32" s="21">
        <f t="shared" si="6"/>
        <v>-1116.77</v>
      </c>
      <c r="F32" s="70"/>
      <c r="G32" s="101"/>
      <c r="H32" s="101"/>
      <c r="I32" s="101"/>
      <c r="J32" s="10"/>
      <c r="K32" s="101"/>
      <c r="L32" s="10"/>
      <c r="M32" s="39" t="s">
        <v>137</v>
      </c>
      <c r="N32" s="49"/>
      <c r="O32" s="49"/>
      <c r="P32" s="49"/>
      <c r="Q32" s="49"/>
      <c r="R32" s="10"/>
      <c r="S32" s="10"/>
      <c r="T32" s="10"/>
      <c r="U32" s="10"/>
      <c r="V32" s="10"/>
      <c r="W32" s="10"/>
      <c r="X32" s="10"/>
      <c r="Y32" s="10"/>
      <c r="Z32" s="10"/>
    </row>
    <row r="33" ht="12.0" customHeight="1">
      <c r="A33" s="18" t="s">
        <v>36</v>
      </c>
      <c r="B33" s="14"/>
      <c r="C33" s="148">
        <v>1000.0</v>
      </c>
      <c r="D33" s="165"/>
      <c r="E33" s="21">
        <f t="shared" si="6"/>
        <v>1000</v>
      </c>
      <c r="F33" s="70"/>
      <c r="G33" s="101"/>
      <c r="H33" s="101"/>
      <c r="I33" s="101"/>
      <c r="J33" s="10"/>
      <c r="K33" s="101"/>
      <c r="L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2.0" customHeight="1">
      <c r="A34" s="18" t="s">
        <v>138</v>
      </c>
      <c r="B34" s="14"/>
      <c r="C34" s="148">
        <v>1200.0</v>
      </c>
      <c r="D34" s="166">
        <f>1092.51+1443.93+61+1575.37+530</f>
        <v>4702.81</v>
      </c>
      <c r="E34" s="21">
        <f t="shared" si="6"/>
        <v>-3502.81</v>
      </c>
      <c r="F34" s="70"/>
      <c r="G34" s="101"/>
      <c r="H34" s="101"/>
      <c r="I34" s="101"/>
      <c r="J34" s="10"/>
      <c r="K34" s="101"/>
      <c r="L34" s="10"/>
      <c r="M34" s="39" t="s">
        <v>137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2.0" customHeight="1">
      <c r="A35" s="18" t="s">
        <v>38</v>
      </c>
      <c r="B35" s="14"/>
      <c r="C35" s="148">
        <v>150.0</v>
      </c>
      <c r="D35" s="21"/>
      <c r="E35" s="21">
        <f t="shared" si="6"/>
        <v>150</v>
      </c>
      <c r="F35" s="70"/>
      <c r="G35" s="101"/>
      <c r="H35" s="103"/>
      <c r="I35" s="103"/>
      <c r="J35" s="10"/>
      <c r="K35" s="101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2.0" customHeight="1">
      <c r="A36" s="41" t="s">
        <v>39</v>
      </c>
      <c r="B36" s="44"/>
      <c r="C36" s="55">
        <f t="shared" ref="C36:D36" si="8">SUM(C30:C35)</f>
        <v>5750</v>
      </c>
      <c r="D36" s="55">
        <f t="shared" si="8"/>
        <v>8855.31</v>
      </c>
      <c r="E36" s="47">
        <f t="shared" si="6"/>
        <v>-3105.31</v>
      </c>
      <c r="F36" s="44"/>
      <c r="G36" s="44">
        <f t="shared" ref="G36:K36" si="9">SUM(G30:G35)</f>
        <v>0</v>
      </c>
      <c r="H36" s="44">
        <f t="shared" si="9"/>
        <v>0</v>
      </c>
      <c r="I36" s="44">
        <f t="shared" si="9"/>
        <v>0</v>
      </c>
      <c r="J36" s="44">
        <f t="shared" si="9"/>
        <v>0</v>
      </c>
      <c r="K36" s="44">
        <f t="shared" si="9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7.5" customHeight="1">
      <c r="A37" s="18"/>
      <c r="B37" s="14"/>
      <c r="C37" s="148"/>
      <c r="D37" s="21"/>
      <c r="E37" s="21">
        <f t="shared" si="6"/>
        <v>0</v>
      </c>
      <c r="F37" s="7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0" customHeight="1">
      <c r="A38" s="41" t="s">
        <v>40</v>
      </c>
      <c r="B38" s="14"/>
      <c r="C38" s="148"/>
      <c r="D38" s="21"/>
      <c r="E38" s="21">
        <f t="shared" si="6"/>
        <v>0</v>
      </c>
      <c r="F38" s="7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2.0" customHeight="1">
      <c r="A39" s="52" t="s">
        <v>41</v>
      </c>
      <c r="B39" s="14"/>
      <c r="C39" s="148">
        <v>0.0</v>
      </c>
      <c r="D39" s="21"/>
      <c r="E39" s="21">
        <f t="shared" si="6"/>
        <v>0</v>
      </c>
      <c r="F39" s="70"/>
      <c r="G39" s="104"/>
      <c r="H39" s="105"/>
      <c r="I39" s="105"/>
      <c r="J39" s="1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2.0" customHeight="1">
      <c r="A40" s="41" t="s">
        <v>43</v>
      </c>
      <c r="B40" s="44"/>
      <c r="C40" s="167">
        <f t="shared" ref="C40:D40" si="10">SUM(C39)</f>
        <v>0</v>
      </c>
      <c r="D40" s="167">
        <f t="shared" si="10"/>
        <v>0</v>
      </c>
      <c r="E40" s="21">
        <f t="shared" si="6"/>
        <v>0</v>
      </c>
      <c r="F40" s="44"/>
      <c r="G40" s="44">
        <f t="shared" ref="G40:K40" si="11">SUM(G39)</f>
        <v>0</v>
      </c>
      <c r="H40" s="44">
        <f t="shared" si="11"/>
        <v>0</v>
      </c>
      <c r="I40" s="44">
        <f t="shared" si="11"/>
        <v>0</v>
      </c>
      <c r="J40" s="44">
        <f t="shared" si="11"/>
        <v>0</v>
      </c>
      <c r="K40" s="44">
        <f t="shared" si="11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6.75" customHeight="1">
      <c r="A41" s="18"/>
      <c r="B41" s="14"/>
      <c r="C41" s="148"/>
      <c r="D41" s="21"/>
      <c r="E41" s="21">
        <f t="shared" si="6"/>
        <v>0</v>
      </c>
      <c r="F41" s="7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2.0" customHeight="1">
      <c r="A42" s="41" t="s">
        <v>44</v>
      </c>
      <c r="B42" s="14"/>
      <c r="C42" s="148"/>
      <c r="D42" s="21"/>
      <c r="E42" s="21">
        <f t="shared" si="6"/>
        <v>0</v>
      </c>
      <c r="F42" s="7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0" customHeight="1">
      <c r="A43" s="18" t="s">
        <v>45</v>
      </c>
      <c r="B43" s="14"/>
      <c r="C43" s="148">
        <v>100.0</v>
      </c>
      <c r="D43" s="21">
        <f>125+431-53-45</f>
        <v>458</v>
      </c>
      <c r="E43" s="21">
        <f t="shared" si="6"/>
        <v>-358</v>
      </c>
      <c r="F43" s="70"/>
      <c r="G43" s="101"/>
      <c r="H43" s="103"/>
      <c r="I43" s="103"/>
      <c r="J43" s="10"/>
      <c r="K43" s="101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0" customHeight="1">
      <c r="A44" s="18" t="s">
        <v>46</v>
      </c>
      <c r="B44" s="14"/>
      <c r="C44" s="148">
        <v>500.0</v>
      </c>
      <c r="D44" s="21">
        <v>1239.25</v>
      </c>
      <c r="E44" s="21">
        <f t="shared" si="6"/>
        <v>-739.25</v>
      </c>
      <c r="F44" s="70"/>
      <c r="G44" s="101"/>
      <c r="H44" s="101"/>
      <c r="I44" s="101"/>
      <c r="J44" s="10"/>
      <c r="K44" s="101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0" customHeight="1">
      <c r="A45" s="18" t="s">
        <v>47</v>
      </c>
      <c r="B45" s="14"/>
      <c r="C45" s="148">
        <v>1500.0</v>
      </c>
      <c r="D45" s="151">
        <f>65+847.5+210+52.5+60</f>
        <v>1235</v>
      </c>
      <c r="E45" s="21">
        <f t="shared" si="6"/>
        <v>265</v>
      </c>
      <c r="F45" s="70"/>
      <c r="G45" s="101"/>
      <c r="H45" s="101"/>
      <c r="I45" s="101"/>
      <c r="J45" s="10"/>
      <c r="K45" s="101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0" customHeight="1">
      <c r="A46" s="41" t="s">
        <v>48</v>
      </c>
      <c r="B46" s="44"/>
      <c r="C46" s="55">
        <f>SUM(C43:C45)</f>
        <v>2100</v>
      </c>
      <c r="D46" s="55">
        <f>SUM(D42:D45)</f>
        <v>2932.25</v>
      </c>
      <c r="E46" s="55">
        <f>SUM(E43:E45)</f>
        <v>-832.25</v>
      </c>
      <c r="F46" s="44"/>
      <c r="G46" s="44">
        <f t="shared" ref="G46:K46" si="12">SUM(G43,G44,G45)</f>
        <v>0</v>
      </c>
      <c r="H46" s="44">
        <f t="shared" si="12"/>
        <v>0</v>
      </c>
      <c r="I46" s="44">
        <f t="shared" si="12"/>
        <v>0</v>
      </c>
      <c r="J46" s="44">
        <f t="shared" si="12"/>
        <v>0</v>
      </c>
      <c r="K46" s="44">
        <f t="shared" si="12"/>
        <v>0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9.0" customHeight="1">
      <c r="A47" s="18"/>
      <c r="B47" s="18"/>
      <c r="C47" s="148"/>
      <c r="D47" s="21"/>
      <c r="E47" s="21">
        <f>C47-D47</f>
        <v>0</v>
      </c>
      <c r="F47" s="7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2.0" customHeight="1">
      <c r="A48" s="41" t="s">
        <v>49</v>
      </c>
      <c r="B48" s="14"/>
      <c r="C48" s="148"/>
      <c r="D48" s="21"/>
      <c r="E48" s="21"/>
      <c r="F48" s="70"/>
      <c r="G48" s="26"/>
      <c r="H48" s="26"/>
      <c r="I48" s="26"/>
      <c r="J48" s="10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2.0" customHeight="1">
      <c r="A49" s="18" t="s">
        <v>50</v>
      </c>
      <c r="B49" s="14"/>
      <c r="C49" s="148">
        <v>200.0</v>
      </c>
      <c r="D49" s="151">
        <v>200.0</v>
      </c>
      <c r="E49" s="21">
        <f t="shared" ref="E49:E66" si="13">C49-D49</f>
        <v>0</v>
      </c>
      <c r="F49" s="70"/>
      <c r="G49" s="104"/>
      <c r="H49" s="104"/>
      <c r="I49" s="104"/>
      <c r="J49" s="10"/>
      <c r="K49" s="104"/>
      <c r="L49" s="26" t="s">
        <v>139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2.0" customHeight="1">
      <c r="A50" s="18" t="s">
        <v>118</v>
      </c>
      <c r="B50" s="14"/>
      <c r="C50" s="148">
        <v>30.0</v>
      </c>
      <c r="D50" s="21">
        <v>30.0</v>
      </c>
      <c r="E50" s="21">
        <f t="shared" si="13"/>
        <v>0</v>
      </c>
      <c r="F50" s="70"/>
      <c r="G50" s="104"/>
      <c r="H50" s="104"/>
      <c r="I50" s="104"/>
      <c r="J50" s="10"/>
      <c r="K50" s="104"/>
      <c r="L50" s="26" t="s">
        <v>139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2.0" customHeight="1">
      <c r="A51" s="18" t="s">
        <v>52</v>
      </c>
      <c r="B51" s="14"/>
      <c r="C51" s="148">
        <v>150.0</v>
      </c>
      <c r="D51" s="21"/>
      <c r="E51" s="21">
        <f t="shared" si="13"/>
        <v>150</v>
      </c>
      <c r="F51" s="70"/>
      <c r="G51" s="101"/>
      <c r="H51" s="101"/>
      <c r="I51" s="101"/>
      <c r="J51" s="10"/>
      <c r="K51" s="101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2.0" customHeight="1">
      <c r="A52" s="18" t="s">
        <v>119</v>
      </c>
      <c r="B52" s="14"/>
      <c r="C52" s="148">
        <v>1000.0</v>
      </c>
      <c r="D52" s="168">
        <v>803.73</v>
      </c>
      <c r="E52" s="21">
        <f t="shared" si="13"/>
        <v>196.27</v>
      </c>
      <c r="F52" s="70"/>
      <c r="G52" s="101"/>
      <c r="H52" s="101"/>
      <c r="I52" s="101"/>
      <c r="J52" s="10"/>
      <c r="K52" s="10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2.0" customHeight="1">
      <c r="A53" s="18" t="s">
        <v>54</v>
      </c>
      <c r="B53" s="14"/>
      <c r="C53" s="148">
        <v>200.0</v>
      </c>
      <c r="D53" s="21">
        <v>150.0</v>
      </c>
      <c r="E53" s="21">
        <f t="shared" si="13"/>
        <v>50</v>
      </c>
      <c r="F53" s="70"/>
      <c r="G53" s="101"/>
      <c r="H53" s="101"/>
      <c r="I53" s="101"/>
      <c r="J53" s="10"/>
      <c r="K53" s="101"/>
      <c r="L53" s="10" t="s">
        <v>140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0" customHeight="1">
      <c r="A54" s="18" t="s">
        <v>55</v>
      </c>
      <c r="B54" s="14"/>
      <c r="C54" s="148">
        <v>125.0</v>
      </c>
      <c r="D54" s="21">
        <v>125.0</v>
      </c>
      <c r="E54" s="21">
        <f t="shared" si="13"/>
        <v>0</v>
      </c>
      <c r="F54" s="70"/>
      <c r="G54" s="101"/>
      <c r="H54" s="101"/>
      <c r="I54" s="101"/>
      <c r="J54" s="10"/>
      <c r="K54" s="101"/>
      <c r="L54" s="10" t="s">
        <v>140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0" customHeight="1">
      <c r="A55" s="18" t="s">
        <v>56</v>
      </c>
      <c r="B55" s="14"/>
      <c r="C55" s="148">
        <v>215.0</v>
      </c>
      <c r="D55" s="21">
        <v>215.0</v>
      </c>
      <c r="E55" s="21">
        <f t="shared" si="13"/>
        <v>0</v>
      </c>
      <c r="F55" s="70"/>
      <c r="G55" s="101"/>
      <c r="H55" s="101"/>
      <c r="I55" s="101"/>
      <c r="J55" s="10"/>
      <c r="K55" s="101"/>
      <c r="L55" s="10" t="s">
        <v>139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0" customHeight="1">
      <c r="A56" s="18" t="s">
        <v>57</v>
      </c>
      <c r="B56" s="14"/>
      <c r="C56" s="149">
        <v>50.0</v>
      </c>
      <c r="D56" s="21"/>
      <c r="E56" s="21">
        <f t="shared" si="13"/>
        <v>50</v>
      </c>
      <c r="F56" s="70"/>
      <c r="G56" s="101"/>
      <c r="H56" s="101"/>
      <c r="I56" s="101"/>
      <c r="J56" s="10"/>
      <c r="K56" s="101"/>
      <c r="L56" s="10" t="s">
        <v>139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0" customHeight="1">
      <c r="A57" s="18" t="s">
        <v>93</v>
      </c>
      <c r="B57" s="14"/>
      <c r="C57" s="148">
        <v>3000.0</v>
      </c>
      <c r="D57" s="21"/>
      <c r="E57" s="21">
        <f t="shared" si="13"/>
        <v>3000</v>
      </c>
      <c r="F57" s="70"/>
      <c r="G57" s="101"/>
      <c r="H57" s="101"/>
      <c r="I57" s="101"/>
      <c r="J57" s="10"/>
      <c r="K57" s="103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0" customHeight="1">
      <c r="A58" s="18" t="s">
        <v>121</v>
      </c>
      <c r="B58" s="44"/>
      <c r="C58" s="148">
        <v>200.0</v>
      </c>
      <c r="D58" s="151">
        <v>133.75</v>
      </c>
      <c r="E58" s="21">
        <f t="shared" si="13"/>
        <v>66.25</v>
      </c>
      <c r="F58" s="44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2.0" customHeight="1">
      <c r="A59" s="18" t="s">
        <v>122</v>
      </c>
      <c r="B59" s="14"/>
      <c r="C59" s="148">
        <v>50.0</v>
      </c>
      <c r="D59" s="21"/>
      <c r="E59" s="21">
        <f t="shared" si="13"/>
        <v>50</v>
      </c>
      <c r="F59" s="70"/>
      <c r="G59" s="101"/>
      <c r="H59" s="101"/>
      <c r="I59" s="101"/>
      <c r="J59" s="10"/>
      <c r="K59" s="101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2.0" customHeight="1">
      <c r="A60" s="18" t="s">
        <v>94</v>
      </c>
      <c r="B60" s="14"/>
      <c r="C60" s="148">
        <v>150.0</v>
      </c>
      <c r="D60" s="21"/>
      <c r="E60" s="21">
        <f t="shared" si="13"/>
        <v>150</v>
      </c>
      <c r="F60" s="70"/>
      <c r="G60" s="101"/>
      <c r="H60" s="101"/>
      <c r="I60" s="101"/>
      <c r="J60" s="10"/>
      <c r="K60" s="101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0" customHeight="1">
      <c r="A61" s="18" t="s">
        <v>60</v>
      </c>
      <c r="B61" s="14"/>
      <c r="C61" s="149">
        <v>320.0</v>
      </c>
      <c r="D61" s="21">
        <v>270.0</v>
      </c>
      <c r="E61" s="21">
        <f t="shared" si="13"/>
        <v>50</v>
      </c>
      <c r="F61" s="70"/>
      <c r="G61" s="101"/>
      <c r="H61" s="101"/>
      <c r="I61" s="101"/>
      <c r="J61" s="10"/>
      <c r="K61" s="101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2.0" customHeight="1">
      <c r="A62" s="18" t="s">
        <v>61</v>
      </c>
      <c r="B62" s="48"/>
      <c r="C62" s="148">
        <v>100.0</v>
      </c>
      <c r="D62" s="151">
        <v>96.0</v>
      </c>
      <c r="E62" s="21">
        <f t="shared" si="13"/>
        <v>4</v>
      </c>
      <c r="F62" s="7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2.0" customHeight="1">
      <c r="A63" s="18" t="s">
        <v>95</v>
      </c>
      <c r="B63" s="14"/>
      <c r="C63" s="148">
        <v>50.0</v>
      </c>
      <c r="D63" s="21"/>
      <c r="E63" s="21">
        <f t="shared" si="13"/>
        <v>50</v>
      </c>
      <c r="F63" s="70"/>
      <c r="G63" s="101"/>
      <c r="H63" s="101"/>
      <c r="I63" s="101"/>
      <c r="J63" s="10"/>
      <c r="K63" s="10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0" customHeight="1">
      <c r="A64" s="18" t="s">
        <v>62</v>
      </c>
      <c r="B64" s="14"/>
      <c r="C64" s="148">
        <v>120.0</v>
      </c>
      <c r="D64" s="21">
        <v>119.4</v>
      </c>
      <c r="E64" s="21">
        <f t="shared" si="13"/>
        <v>0.6</v>
      </c>
      <c r="F64" s="70"/>
      <c r="G64" s="101"/>
      <c r="H64" s="101"/>
      <c r="I64" s="101"/>
      <c r="J64" s="10"/>
      <c r="K64" s="10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2.0" customHeight="1">
      <c r="A65" s="18" t="s">
        <v>96</v>
      </c>
      <c r="B65" s="10"/>
      <c r="C65" s="148">
        <v>72.0</v>
      </c>
      <c r="D65" s="21">
        <v>47.88</v>
      </c>
      <c r="E65" s="21">
        <f t="shared" si="13"/>
        <v>24.12</v>
      </c>
      <c r="F65" s="70"/>
      <c r="G65" s="10"/>
      <c r="H65" s="10"/>
      <c r="I65" s="10"/>
      <c r="J65" s="10"/>
      <c r="K65" s="10">
        <v>0.0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2.0" customHeight="1">
      <c r="A66" s="18" t="s">
        <v>63</v>
      </c>
      <c r="B66" s="10"/>
      <c r="C66" s="148">
        <f>14.99*12</f>
        <v>179.88</v>
      </c>
      <c r="D66" s="21">
        <v>119.92</v>
      </c>
      <c r="E66" s="21">
        <f t="shared" si="13"/>
        <v>59.96</v>
      </c>
      <c r="F66" s="70"/>
      <c r="G66" s="10"/>
      <c r="H66" s="10"/>
      <c r="I66" s="10"/>
      <c r="J66" s="10"/>
      <c r="K66" s="10">
        <v>0.0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2.0" customHeight="1">
      <c r="A67" s="41" t="s">
        <v>64</v>
      </c>
      <c r="B67" s="44"/>
      <c r="C67" s="55">
        <f t="shared" ref="C67:E67" si="14">SUM(C49:C66)</f>
        <v>6211.88</v>
      </c>
      <c r="D67" s="55">
        <f t="shared" si="14"/>
        <v>2310.68</v>
      </c>
      <c r="E67" s="55">
        <f t="shared" si="14"/>
        <v>3901.2</v>
      </c>
      <c r="F67" s="44"/>
      <c r="G67" s="44">
        <f t="shared" ref="G67:K67" si="15">SUM(G49:G65)</f>
        <v>0</v>
      </c>
      <c r="H67" s="44">
        <f t="shared" si="15"/>
        <v>0</v>
      </c>
      <c r="I67" s="44">
        <f t="shared" si="15"/>
        <v>0</v>
      </c>
      <c r="J67" s="44">
        <f t="shared" si="15"/>
        <v>0</v>
      </c>
      <c r="K67" s="44">
        <f t="shared" si="15"/>
        <v>0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5.25" customHeight="1">
      <c r="A68" s="41"/>
      <c r="B68" s="14"/>
      <c r="C68" s="148"/>
      <c r="D68" s="21"/>
      <c r="E68" s="21">
        <f t="shared" ref="E68:E82" si="16">C68-D68</f>
        <v>0</v>
      </c>
      <c r="F68" s="7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2.0" customHeight="1">
      <c r="A69" s="41" t="s">
        <v>141</v>
      </c>
      <c r="B69" s="14"/>
      <c r="C69" s="148"/>
      <c r="D69" s="21"/>
      <c r="E69" s="21">
        <f t="shared" si="16"/>
        <v>0</v>
      </c>
      <c r="F69" s="7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2.0" customHeight="1">
      <c r="A70" s="18" t="s">
        <v>124</v>
      </c>
      <c r="B70" s="14"/>
      <c r="C70" s="148">
        <v>400.0</v>
      </c>
      <c r="D70" s="151">
        <v>106.43</v>
      </c>
      <c r="E70" s="21">
        <f t="shared" si="16"/>
        <v>293.57</v>
      </c>
      <c r="F70" s="70"/>
      <c r="G70" s="101"/>
      <c r="H70" s="101"/>
      <c r="I70" s="101"/>
      <c r="J70" s="10"/>
      <c r="K70" s="101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2.0" customHeight="1">
      <c r="A71" s="18" t="s">
        <v>67</v>
      </c>
      <c r="B71" s="14"/>
      <c r="C71" s="148">
        <v>50.0</v>
      </c>
      <c r="D71" s="21"/>
      <c r="E71" s="21">
        <f t="shared" si="16"/>
        <v>50</v>
      </c>
      <c r="F71" s="70"/>
      <c r="G71" s="101"/>
      <c r="H71" s="101"/>
      <c r="I71" s="101"/>
      <c r="J71" s="10"/>
      <c r="K71" s="101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2.0" customHeight="1">
      <c r="A72" s="18" t="s">
        <v>68</v>
      </c>
      <c r="B72" s="14"/>
      <c r="C72" s="148">
        <v>200.0</v>
      </c>
      <c r="D72" s="21">
        <v>0.0</v>
      </c>
      <c r="E72" s="21">
        <f t="shared" si="16"/>
        <v>200</v>
      </c>
      <c r="F72" s="70"/>
      <c r="G72" s="101"/>
      <c r="H72" s="101"/>
      <c r="I72" s="101"/>
      <c r="J72" s="10"/>
      <c r="K72" s="101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2.0" customHeight="1">
      <c r="A73" s="18" t="s">
        <v>69</v>
      </c>
      <c r="B73" s="14"/>
      <c r="C73" s="148">
        <v>1000.0</v>
      </c>
      <c r="D73" s="169">
        <v>1000.0</v>
      </c>
      <c r="E73" s="21">
        <f t="shared" si="16"/>
        <v>0</v>
      </c>
      <c r="F73" s="70"/>
      <c r="G73" s="101"/>
      <c r="H73" s="101"/>
      <c r="I73" s="101"/>
      <c r="J73" s="10"/>
      <c r="K73" s="10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0" customHeight="1">
      <c r="A74" s="18" t="s">
        <v>70</v>
      </c>
      <c r="B74" s="14"/>
      <c r="C74" s="148">
        <v>1500.0</v>
      </c>
      <c r="D74" s="21">
        <v>1500.0</v>
      </c>
      <c r="E74" s="21">
        <f t="shared" si="16"/>
        <v>0</v>
      </c>
      <c r="F74" s="70"/>
      <c r="G74" s="101"/>
      <c r="H74" s="101"/>
      <c r="I74" s="101"/>
      <c r="J74" s="10"/>
      <c r="K74" s="101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2.0" customHeight="1">
      <c r="A75" s="18" t="s">
        <v>71</v>
      </c>
      <c r="B75" s="14"/>
      <c r="C75" s="148">
        <v>3000.0</v>
      </c>
      <c r="D75" s="21">
        <f>2196+1181</f>
        <v>3377</v>
      </c>
      <c r="E75" s="21">
        <f t="shared" si="16"/>
        <v>-377</v>
      </c>
      <c r="F75" s="70"/>
      <c r="G75" s="101"/>
      <c r="H75" s="101"/>
      <c r="I75" s="101"/>
      <c r="J75" s="10"/>
      <c r="K75" s="101"/>
      <c r="L75" s="10"/>
      <c r="M75" s="10"/>
      <c r="N75" s="49"/>
      <c r="O75" s="49"/>
      <c r="P75" s="49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2.0" customHeight="1">
      <c r="A76" s="18" t="s">
        <v>72</v>
      </c>
      <c r="B76" s="14"/>
      <c r="C76" s="148">
        <v>5000.0</v>
      </c>
      <c r="D76" s="21">
        <f>1396+3095+250+95.71+189.68</f>
        <v>5026.39</v>
      </c>
      <c r="E76" s="21">
        <f t="shared" si="16"/>
        <v>-26.39</v>
      </c>
      <c r="F76" s="70"/>
      <c r="G76" s="101"/>
      <c r="H76" s="101"/>
      <c r="I76" s="101"/>
      <c r="J76" s="10"/>
      <c r="K76" s="101"/>
      <c r="L76" s="10"/>
      <c r="M76" s="10"/>
      <c r="N76" s="7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2.0" customHeight="1">
      <c r="A77" s="41" t="s">
        <v>74</v>
      </c>
      <c r="B77" s="44"/>
      <c r="C77" s="55">
        <f t="shared" ref="C77:D77" si="17">SUM(C70:C76)</f>
        <v>11150</v>
      </c>
      <c r="D77" s="55">
        <f t="shared" si="17"/>
        <v>11009.82</v>
      </c>
      <c r="E77" s="47">
        <f t="shared" si="16"/>
        <v>140.18</v>
      </c>
      <c r="F77" s="44"/>
      <c r="G77" s="44">
        <f t="shared" ref="G77:K77" si="18">SUM(G70:G76)</f>
        <v>0</v>
      </c>
      <c r="H77" s="44">
        <f t="shared" si="18"/>
        <v>0</v>
      </c>
      <c r="I77" s="44">
        <f t="shared" si="18"/>
        <v>0</v>
      </c>
      <c r="J77" s="44">
        <f t="shared" si="18"/>
        <v>0</v>
      </c>
      <c r="K77" s="44">
        <f t="shared" si="18"/>
        <v>0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2.0" customHeight="1">
      <c r="A78" s="41"/>
      <c r="B78" s="44"/>
      <c r="C78" s="167"/>
      <c r="D78" s="170"/>
      <c r="E78" s="21">
        <f t="shared" si="16"/>
        <v>0</v>
      </c>
      <c r="F78" s="44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2.0" customHeight="1">
      <c r="A79" s="18" t="s">
        <v>76</v>
      </c>
      <c r="B79" s="44"/>
      <c r="C79" s="148">
        <v>200.0</v>
      </c>
      <c r="D79" s="21">
        <f>175+75</f>
        <v>250</v>
      </c>
      <c r="E79" s="21">
        <f t="shared" si="16"/>
        <v>-50</v>
      </c>
      <c r="F79" s="44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2.0" customHeight="1">
      <c r="A80" s="18" t="s">
        <v>125</v>
      </c>
      <c r="B80" s="44"/>
      <c r="C80" s="148">
        <v>200.0</v>
      </c>
      <c r="D80" s="21">
        <v>200.0</v>
      </c>
      <c r="E80" s="21">
        <f t="shared" si="16"/>
        <v>0</v>
      </c>
      <c r="F80" s="44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2.0" customHeight="1">
      <c r="A81" s="18" t="s">
        <v>78</v>
      </c>
      <c r="B81" s="44"/>
      <c r="C81" s="148">
        <v>1000.0</v>
      </c>
      <c r="D81" s="151">
        <f>121+464.26+75</f>
        <v>660.26</v>
      </c>
      <c r="E81" s="21">
        <f t="shared" si="16"/>
        <v>339.74</v>
      </c>
      <c r="F81" s="44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2.0" customHeight="1">
      <c r="A82" s="41" t="s">
        <v>98</v>
      </c>
      <c r="B82" s="44"/>
      <c r="C82" s="171">
        <f t="shared" ref="C82:D82" si="19">SUM(C79:C81)</f>
        <v>1400</v>
      </c>
      <c r="D82" s="172">
        <f t="shared" si="19"/>
        <v>1110.26</v>
      </c>
      <c r="E82" s="65">
        <f t="shared" si="16"/>
        <v>289.74</v>
      </c>
      <c r="F82" s="44"/>
      <c r="G82" s="134">
        <f t="shared" ref="G82:K82" si="20">SUM(G79:G81)</f>
        <v>0</v>
      </c>
      <c r="H82" s="134">
        <f t="shared" si="20"/>
        <v>0</v>
      </c>
      <c r="I82" s="134">
        <f t="shared" si="20"/>
        <v>0</v>
      </c>
      <c r="J82" s="134">
        <f t="shared" si="20"/>
        <v>0</v>
      </c>
      <c r="K82" s="134">
        <f t="shared" si="20"/>
        <v>0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2.0" customHeight="1">
      <c r="A83" s="173" t="s">
        <v>80</v>
      </c>
      <c r="B83" s="174"/>
      <c r="C83" s="175">
        <f t="shared" ref="C83:E83" si="21">C82+C77+C67+C46+C40+C36+C27</f>
        <v>30761.88</v>
      </c>
      <c r="D83" s="176">
        <f t="shared" si="21"/>
        <v>28668.32</v>
      </c>
      <c r="E83" s="94">
        <f t="shared" si="21"/>
        <v>2093.56</v>
      </c>
      <c r="F83" s="136"/>
      <c r="G83" s="137">
        <f>SUM(G82, G77,G67,G46,G40,G36,G27)</f>
        <v>0</v>
      </c>
      <c r="H83" s="10"/>
      <c r="I83" s="10"/>
      <c r="J83" s="101">
        <v>18215.14</v>
      </c>
      <c r="K83" s="4" t="s">
        <v>126</v>
      </c>
      <c r="L83" s="134">
        <f>K18</f>
        <v>0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4.25" customHeight="1">
      <c r="A84" s="95" t="s">
        <v>99</v>
      </c>
      <c r="B84" s="138"/>
      <c r="C84" s="69"/>
      <c r="D84" s="68"/>
      <c r="E84" s="70"/>
      <c r="F84" s="139"/>
      <c r="G84" s="140">
        <f t="shared" ref="G84:H84" si="22">SUM(G18-G83)</f>
        <v>0</v>
      </c>
      <c r="H84" s="140">
        <f t="shared" si="22"/>
        <v>0</v>
      </c>
      <c r="I84" s="10"/>
      <c r="J84" s="10"/>
      <c r="K84" s="4" t="s">
        <v>127</v>
      </c>
      <c r="L84" s="134">
        <f>K77+K67+K46+K40+K36+K27</f>
        <v>0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4.25" customHeight="1">
      <c r="A85" s="49"/>
      <c r="B85" s="49"/>
      <c r="C85" s="77"/>
      <c r="D85" s="70"/>
      <c r="E85" s="70"/>
      <c r="F85" s="70"/>
      <c r="G85" s="10"/>
      <c r="H85" s="10"/>
      <c r="I85" s="10"/>
      <c r="J85" s="10"/>
      <c r="K85" s="4" t="s">
        <v>128</v>
      </c>
      <c r="L85" s="134">
        <f>L83-L84</f>
        <v>0</v>
      </c>
      <c r="M85" s="163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2.0" customHeight="1">
      <c r="A86" s="43"/>
      <c r="B86" s="97"/>
      <c r="C86" s="98"/>
      <c r="D86" s="52"/>
      <c r="E86" s="52"/>
      <c r="F86" s="52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2.0" customHeight="1">
      <c r="A87" s="49"/>
      <c r="B87" s="49"/>
      <c r="C87" s="77"/>
      <c r="D87" s="70"/>
      <c r="E87" s="70"/>
      <c r="F87" s="7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2.0" customHeight="1">
      <c r="A88" s="49"/>
      <c r="B88" s="49"/>
      <c r="C88" s="77"/>
      <c r="D88" s="70"/>
      <c r="E88" s="70"/>
      <c r="F88" s="7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2.0" customHeight="1">
      <c r="A89" s="49"/>
      <c r="B89" s="49"/>
      <c r="C89" s="77"/>
      <c r="D89" s="70"/>
      <c r="E89" s="70"/>
      <c r="F89" s="7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2.0" customHeight="1">
      <c r="A90" s="49"/>
      <c r="B90" s="49"/>
      <c r="C90" s="3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2.0" customHeight="1">
      <c r="A91" s="49"/>
      <c r="B91" s="49"/>
      <c r="C91" s="3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2.0" customHeight="1">
      <c r="A92" s="49"/>
      <c r="B92" s="49"/>
      <c r="C92" s="3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2.0" customHeight="1">
      <c r="A93" s="49"/>
      <c r="B93" s="49"/>
      <c r="C93" s="3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2.0" customHeight="1">
      <c r="A94" s="49"/>
      <c r="B94" s="49"/>
      <c r="C94" s="3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2.0" customHeight="1">
      <c r="A95" s="49"/>
      <c r="B95" s="49"/>
      <c r="C95" s="3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2.0" customHeight="1">
      <c r="A96" s="49"/>
      <c r="B96" s="49"/>
      <c r="C96" s="3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2.0" hidden="1" customHeight="1">
      <c r="A97" s="49" t="s">
        <v>83</v>
      </c>
      <c r="B97" s="49"/>
      <c r="C97" s="3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0" customHeight="1">
      <c r="A98" s="49"/>
      <c r="B98" s="49"/>
      <c r="C98" s="33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0" customHeight="1">
      <c r="A99" s="49"/>
      <c r="B99" s="49"/>
      <c r="C99" s="3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0" customHeight="1">
      <c r="A100" s="49"/>
      <c r="B100" s="49"/>
      <c r="C100" s="33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0" customHeight="1">
      <c r="A101" s="49"/>
      <c r="B101" s="49"/>
      <c r="C101" s="3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0" customHeight="1">
      <c r="A102" s="49"/>
      <c r="B102" s="49"/>
      <c r="C102" s="33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0" customHeight="1">
      <c r="A103" s="49"/>
      <c r="B103" s="49"/>
      <c r="C103" s="3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0" customHeight="1">
      <c r="A104" s="49"/>
      <c r="B104" s="49"/>
      <c r="C104" s="33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0" customHeight="1">
      <c r="A105" s="49"/>
      <c r="B105" s="49"/>
      <c r="C105" s="33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2.0" customHeight="1">
      <c r="A106" s="49"/>
      <c r="B106" s="49"/>
      <c r="C106" s="33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2.0" customHeight="1">
      <c r="A107" s="49"/>
      <c r="B107" s="49"/>
      <c r="C107" s="33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2.0" customHeight="1">
      <c r="A108" s="49"/>
      <c r="B108" s="49"/>
      <c r="C108" s="33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0" customHeight="1">
      <c r="A109" s="49"/>
      <c r="B109" s="49"/>
      <c r="C109" s="33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0" customHeight="1">
      <c r="A110" s="49"/>
      <c r="B110" s="49"/>
      <c r="C110" s="33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0" customHeight="1">
      <c r="A111" s="49"/>
      <c r="B111" s="49"/>
      <c r="C111" s="33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2.0" customHeight="1">
      <c r="A112" s="49"/>
      <c r="B112" s="49"/>
      <c r="C112" s="33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2.0" customHeight="1">
      <c r="A113" s="49"/>
      <c r="B113" s="49"/>
      <c r="C113" s="3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2.0" customHeight="1">
      <c r="A114" s="49"/>
      <c r="B114" s="49"/>
      <c r="C114" s="33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2.0" customHeight="1">
      <c r="A115" s="49"/>
      <c r="B115" s="49"/>
      <c r="C115" s="33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0" customHeight="1">
      <c r="A116" s="49"/>
      <c r="B116" s="49"/>
      <c r="C116" s="33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0" customHeight="1">
      <c r="A117" s="49"/>
      <c r="B117" s="49"/>
      <c r="C117" s="33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0" customHeight="1">
      <c r="A118" s="49"/>
      <c r="B118" s="49"/>
      <c r="C118" s="33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0" customHeight="1">
      <c r="A119" s="49"/>
      <c r="B119" s="49"/>
      <c r="C119" s="33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2.0" customHeight="1">
      <c r="A120" s="49"/>
      <c r="B120" s="49"/>
      <c r="C120" s="33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2.0" customHeight="1">
      <c r="A121" s="49"/>
      <c r="B121" s="49"/>
      <c r="C121" s="33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2.0" customHeight="1">
      <c r="A122" s="49"/>
      <c r="B122" s="49"/>
      <c r="C122" s="33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2.0" customHeight="1">
      <c r="A123" s="49"/>
      <c r="B123" s="49"/>
      <c r="C123" s="33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2.0" customHeight="1">
      <c r="A124" s="49"/>
      <c r="B124" s="49"/>
      <c r="C124" s="33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2.0" customHeight="1">
      <c r="A125" s="49"/>
      <c r="B125" s="49"/>
      <c r="C125" s="33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2.0" customHeight="1">
      <c r="A126" s="49"/>
      <c r="B126" s="49"/>
      <c r="C126" s="33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2.0" customHeight="1">
      <c r="A127" s="49"/>
      <c r="B127" s="49"/>
      <c r="C127" s="33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2.0" customHeight="1">
      <c r="A128" s="49"/>
      <c r="B128" s="49"/>
      <c r="C128" s="33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2.0" customHeight="1">
      <c r="A129" s="49"/>
      <c r="B129" s="49"/>
      <c r="C129" s="33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2.0" customHeight="1">
      <c r="A130" s="10"/>
      <c r="B130" s="10"/>
      <c r="C130" s="78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2.0" customHeight="1">
      <c r="A131" s="10"/>
      <c r="B131" s="10"/>
      <c r="C131" s="78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2.0" customHeight="1">
      <c r="A132" s="10"/>
      <c r="B132" s="10"/>
      <c r="C132" s="7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2.0" customHeight="1">
      <c r="A133" s="10"/>
      <c r="B133" s="10"/>
      <c r="C133" s="78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2.0" customHeight="1">
      <c r="A134" s="10"/>
      <c r="B134" s="10"/>
      <c r="C134" s="78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2.0" customHeight="1">
      <c r="A135" s="10"/>
      <c r="B135" s="10"/>
      <c r="C135" s="78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0" customHeight="1">
      <c r="A136" s="10"/>
      <c r="B136" s="10"/>
      <c r="C136" s="78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2.0" customHeight="1">
      <c r="A137" s="10"/>
      <c r="B137" s="10"/>
      <c r="C137" s="78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2.0" customHeight="1">
      <c r="A138" s="10"/>
      <c r="B138" s="10"/>
      <c r="C138" s="78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0" customHeight="1">
      <c r="A139" s="10"/>
      <c r="B139" s="10"/>
      <c r="C139" s="78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2.0" customHeight="1">
      <c r="A140" s="10"/>
      <c r="B140" s="10"/>
      <c r="C140" s="78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0" customHeight="1">
      <c r="A141" s="10"/>
      <c r="B141" s="10"/>
      <c r="C141" s="78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0" customHeight="1">
      <c r="A142" s="10"/>
      <c r="B142" s="10"/>
      <c r="C142" s="78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0" customHeight="1">
      <c r="A143" s="10"/>
      <c r="B143" s="10"/>
      <c r="C143" s="7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0" customHeight="1">
      <c r="A144" s="10"/>
      <c r="B144" s="10"/>
      <c r="C144" s="78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0" customHeight="1">
      <c r="A145" s="10"/>
      <c r="B145" s="10"/>
      <c r="C145" s="78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2.0" customHeight="1">
      <c r="A146" s="10"/>
      <c r="B146" s="10"/>
      <c r="C146" s="78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2.0" customHeight="1">
      <c r="A147" s="10"/>
      <c r="B147" s="10"/>
      <c r="C147" s="78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2.0" customHeight="1">
      <c r="A148" s="10"/>
      <c r="B148" s="10"/>
      <c r="C148" s="78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2.0" customHeight="1">
      <c r="A149" s="10"/>
      <c r="B149" s="10"/>
      <c r="C149" s="78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2.0" customHeight="1">
      <c r="A150" s="10"/>
      <c r="B150" s="10"/>
      <c r="C150" s="7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2.0" customHeight="1">
      <c r="A151" s="10"/>
      <c r="B151" s="10"/>
      <c r="C151" s="7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2.0" customHeight="1">
      <c r="A152" s="10"/>
      <c r="B152" s="10"/>
      <c r="C152" s="78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2.0" customHeight="1">
      <c r="A153" s="10"/>
      <c r="B153" s="10"/>
      <c r="C153" s="78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2.0" customHeight="1">
      <c r="A154" s="10"/>
      <c r="B154" s="10"/>
      <c r="C154" s="7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2.0" customHeight="1">
      <c r="A155" s="10"/>
      <c r="B155" s="10"/>
      <c r="C155" s="78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2.0" customHeight="1">
      <c r="A156" s="10"/>
      <c r="B156" s="10"/>
      <c r="C156" s="78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2.0" customHeight="1">
      <c r="A157" s="10"/>
      <c r="B157" s="10"/>
      <c r="C157" s="78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2.0" customHeight="1">
      <c r="A158" s="10"/>
      <c r="B158" s="10"/>
      <c r="C158" s="78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0" customHeight="1">
      <c r="A159" s="10"/>
      <c r="B159" s="10"/>
      <c r="C159" s="78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0" customHeight="1">
      <c r="A160" s="10"/>
      <c r="B160" s="10"/>
      <c r="C160" s="78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0" customHeight="1">
      <c r="A161" s="10"/>
      <c r="B161" s="10"/>
      <c r="C161" s="78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0" customHeight="1">
      <c r="A162" s="10"/>
      <c r="B162" s="10"/>
      <c r="C162" s="78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2.0" customHeight="1">
      <c r="A163" s="10"/>
      <c r="B163" s="10"/>
      <c r="C163" s="78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2.0" customHeight="1">
      <c r="A164" s="10"/>
      <c r="B164" s="10"/>
      <c r="C164" s="78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2.0" customHeight="1">
      <c r="A165" s="10"/>
      <c r="B165" s="10"/>
      <c r="C165" s="78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2.0" customHeight="1">
      <c r="A166" s="10"/>
      <c r="B166" s="10"/>
      <c r="C166" s="78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2.0" customHeight="1">
      <c r="A167" s="10"/>
      <c r="B167" s="10"/>
      <c r="C167" s="78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2.0" customHeight="1">
      <c r="A168" s="10"/>
      <c r="B168" s="10"/>
      <c r="C168" s="78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2.0" customHeight="1">
      <c r="A169" s="10"/>
      <c r="B169" s="10"/>
      <c r="C169" s="78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2.0" customHeight="1">
      <c r="A170" s="10"/>
      <c r="B170" s="10"/>
      <c r="C170" s="78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2.0" customHeight="1">
      <c r="A171" s="10"/>
      <c r="B171" s="10"/>
      <c r="C171" s="78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2.0" customHeight="1">
      <c r="A172" s="10"/>
      <c r="B172" s="10"/>
      <c r="C172" s="78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2.0" customHeight="1">
      <c r="A173" s="10"/>
      <c r="B173" s="10"/>
      <c r="C173" s="78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2.0" customHeight="1">
      <c r="A174" s="10"/>
      <c r="B174" s="10"/>
      <c r="C174" s="78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2.0" customHeight="1">
      <c r="A175" s="10"/>
      <c r="B175" s="10"/>
      <c r="C175" s="78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2.0" customHeight="1">
      <c r="A176" s="10"/>
      <c r="B176" s="10"/>
      <c r="C176" s="78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2.0" customHeight="1">
      <c r="A177" s="10"/>
      <c r="B177" s="10"/>
      <c r="C177" s="78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2.0" customHeight="1">
      <c r="A178" s="10"/>
      <c r="B178" s="10"/>
      <c r="C178" s="78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2.0" customHeight="1">
      <c r="A179" s="10"/>
      <c r="B179" s="10"/>
      <c r="C179" s="78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2.0" customHeight="1">
      <c r="A180" s="10"/>
      <c r="B180" s="10"/>
      <c r="C180" s="78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2.0" customHeight="1">
      <c r="A181" s="10"/>
      <c r="B181" s="10"/>
      <c r="C181" s="78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2.0" customHeight="1">
      <c r="A182" s="10"/>
      <c r="B182" s="10"/>
      <c r="C182" s="78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2.0" customHeight="1">
      <c r="A183" s="10"/>
      <c r="B183" s="10"/>
      <c r="C183" s="78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2.0" customHeight="1">
      <c r="A184" s="10"/>
      <c r="B184" s="10"/>
      <c r="C184" s="78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2.0" customHeight="1">
      <c r="A185" s="10"/>
      <c r="B185" s="10"/>
      <c r="C185" s="78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2.0" customHeight="1">
      <c r="A186" s="10"/>
      <c r="B186" s="10"/>
      <c r="C186" s="7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2.0" customHeight="1">
      <c r="A187" s="10"/>
      <c r="B187" s="10"/>
      <c r="C187" s="78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2.0" customHeight="1">
      <c r="A188" s="10"/>
      <c r="B188" s="10"/>
      <c r="C188" s="78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2.0" customHeight="1">
      <c r="A189" s="10"/>
      <c r="B189" s="10"/>
      <c r="C189" s="78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2.0" customHeight="1">
      <c r="A190" s="10"/>
      <c r="B190" s="10"/>
      <c r="C190" s="78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2.0" customHeight="1">
      <c r="A191" s="10"/>
      <c r="B191" s="10"/>
      <c r="C191" s="78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2.0" customHeight="1">
      <c r="A192" s="10"/>
      <c r="B192" s="10"/>
      <c r="C192" s="78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2.0" customHeight="1">
      <c r="A193" s="10"/>
      <c r="B193" s="10"/>
      <c r="C193" s="7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2.0" customHeight="1">
      <c r="A194" s="10"/>
      <c r="B194" s="10"/>
      <c r="C194" s="78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2.0" customHeight="1">
      <c r="A195" s="10"/>
      <c r="B195" s="10"/>
      <c r="C195" s="78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2.0" customHeight="1">
      <c r="A196" s="10"/>
      <c r="B196" s="10"/>
      <c r="C196" s="78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2.0" customHeight="1">
      <c r="A197" s="10"/>
      <c r="B197" s="10"/>
      <c r="C197" s="78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2.0" customHeight="1">
      <c r="A198" s="10"/>
      <c r="B198" s="10"/>
      <c r="C198" s="78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2.0" customHeight="1">
      <c r="A199" s="10"/>
      <c r="B199" s="10"/>
      <c r="C199" s="78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2.0" customHeight="1">
      <c r="A200" s="10"/>
      <c r="B200" s="10"/>
      <c r="C200" s="78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2.0" customHeight="1">
      <c r="A201" s="10"/>
      <c r="B201" s="10"/>
      <c r="C201" s="78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2.0" customHeight="1">
      <c r="A202" s="10"/>
      <c r="B202" s="10"/>
      <c r="C202" s="7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2.0" customHeight="1">
      <c r="A203" s="10"/>
      <c r="B203" s="10"/>
      <c r="C203" s="7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2.0" customHeight="1">
      <c r="A204" s="10"/>
      <c r="B204" s="10"/>
      <c r="C204" s="78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2.0" customHeight="1">
      <c r="A205" s="10"/>
      <c r="B205" s="10"/>
      <c r="C205" s="7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2.0" customHeight="1">
      <c r="A206" s="10"/>
      <c r="B206" s="10"/>
      <c r="C206" s="78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2.0" customHeight="1">
      <c r="A207" s="10"/>
      <c r="B207" s="10"/>
      <c r="C207" s="78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2.0" customHeight="1">
      <c r="A208" s="10"/>
      <c r="B208" s="10"/>
      <c r="C208" s="78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2.0" customHeight="1">
      <c r="A209" s="10"/>
      <c r="B209" s="10"/>
      <c r="C209" s="7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2.0" customHeight="1">
      <c r="A210" s="10"/>
      <c r="B210" s="10"/>
      <c r="C210" s="78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0" customHeight="1">
      <c r="A211" s="10"/>
      <c r="B211" s="10"/>
      <c r="C211" s="78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0" customHeight="1">
      <c r="A212" s="10"/>
      <c r="B212" s="10"/>
      <c r="C212" s="78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2.0" customHeight="1">
      <c r="A213" s="10"/>
      <c r="B213" s="10"/>
      <c r="C213" s="78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2.0" customHeight="1">
      <c r="A214" s="10"/>
      <c r="B214" s="10"/>
      <c r="C214" s="7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2.0" customHeight="1">
      <c r="A215" s="10"/>
      <c r="B215" s="10"/>
      <c r="C215" s="7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0" customHeight="1">
      <c r="A216" s="10"/>
      <c r="B216" s="10"/>
      <c r="C216" s="78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0" customHeight="1">
      <c r="A217" s="10"/>
      <c r="B217" s="10"/>
      <c r="C217" s="7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2.0" customHeight="1">
      <c r="A218" s="10"/>
      <c r="B218" s="10"/>
      <c r="C218" s="78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2.0" customHeight="1">
      <c r="A219" s="10"/>
      <c r="B219" s="10"/>
      <c r="C219" s="78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2.0" customHeight="1">
      <c r="A220" s="10"/>
      <c r="B220" s="10"/>
      <c r="C220" s="78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2.0" customHeight="1">
      <c r="A221" s="10"/>
      <c r="B221" s="10"/>
      <c r="C221" s="7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2.0" customHeight="1">
      <c r="A222" s="10"/>
      <c r="B222" s="10"/>
      <c r="C222" s="78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2.0" customHeight="1">
      <c r="A223" s="10"/>
      <c r="B223" s="10"/>
      <c r="C223" s="78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2.0" customHeight="1">
      <c r="A224" s="10"/>
      <c r="B224" s="10"/>
      <c r="C224" s="78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2.0" customHeight="1">
      <c r="A225" s="10"/>
      <c r="B225" s="10"/>
      <c r="C225" s="78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2.0" customHeight="1">
      <c r="A226" s="10"/>
      <c r="B226" s="10"/>
      <c r="C226" s="78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2.0" customHeight="1">
      <c r="A227" s="10"/>
      <c r="B227" s="10"/>
      <c r="C227" s="78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2.0" customHeight="1">
      <c r="A228" s="10"/>
      <c r="B228" s="10"/>
      <c r="C228" s="78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2.0" customHeight="1">
      <c r="A229" s="10"/>
      <c r="B229" s="10"/>
      <c r="C229" s="78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2.0" customHeight="1">
      <c r="A230" s="10"/>
      <c r="B230" s="10"/>
      <c r="C230" s="78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2.0" customHeight="1">
      <c r="A231" s="10"/>
      <c r="B231" s="10"/>
      <c r="C231" s="78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2.0" customHeight="1">
      <c r="A232" s="10"/>
      <c r="B232" s="10"/>
      <c r="C232" s="7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0" customHeight="1">
      <c r="A233" s="10"/>
      <c r="B233" s="10"/>
      <c r="C233" s="7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0" customHeight="1">
      <c r="A234" s="10"/>
      <c r="B234" s="10"/>
      <c r="C234" s="78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0" customHeight="1">
      <c r="A235" s="10"/>
      <c r="B235" s="10"/>
      <c r="C235" s="78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0" customHeight="1">
      <c r="A236" s="10"/>
      <c r="B236" s="10"/>
      <c r="C236" s="78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2.0" customHeight="1">
      <c r="A237" s="10"/>
      <c r="B237" s="10"/>
      <c r="C237" s="78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2.0" customHeight="1">
      <c r="A238" s="10"/>
      <c r="B238" s="10"/>
      <c r="C238" s="7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2.0" customHeight="1">
      <c r="A239" s="10"/>
      <c r="B239" s="10"/>
      <c r="C239" s="78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2.0" customHeight="1">
      <c r="A240" s="10"/>
      <c r="B240" s="10"/>
      <c r="C240" s="78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2.0" customHeight="1">
      <c r="A241" s="10"/>
      <c r="B241" s="10"/>
      <c r="C241" s="78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2.0" customHeight="1">
      <c r="A242" s="10"/>
      <c r="B242" s="10"/>
      <c r="C242" s="78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2.0" customHeight="1">
      <c r="A243" s="10"/>
      <c r="B243" s="10"/>
      <c r="C243" s="78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2.0" customHeight="1">
      <c r="A244" s="10"/>
      <c r="B244" s="10"/>
      <c r="C244" s="78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2.0" customHeight="1">
      <c r="A245" s="10"/>
      <c r="B245" s="10"/>
      <c r="C245" s="78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2.0" customHeight="1">
      <c r="A246" s="10"/>
      <c r="B246" s="10"/>
      <c r="C246" s="78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2.0" customHeight="1">
      <c r="A247" s="10"/>
      <c r="B247" s="10"/>
      <c r="C247" s="78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2.0" customHeight="1">
      <c r="A248" s="10"/>
      <c r="B248" s="10"/>
      <c r="C248" s="78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2.0" customHeight="1">
      <c r="A249" s="10"/>
      <c r="B249" s="10"/>
      <c r="C249" s="78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2.0" customHeight="1">
      <c r="A250" s="10"/>
      <c r="B250" s="10"/>
      <c r="C250" s="78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2.0" customHeight="1">
      <c r="A251" s="10"/>
      <c r="B251" s="10"/>
      <c r="C251" s="78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2.0" customHeight="1">
      <c r="A252" s="10"/>
      <c r="B252" s="10"/>
      <c r="C252" s="78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2.0" customHeight="1">
      <c r="A253" s="10"/>
      <c r="B253" s="10"/>
      <c r="C253" s="78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2.0" customHeight="1">
      <c r="A254" s="10"/>
      <c r="B254" s="10"/>
      <c r="C254" s="78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2.0" customHeight="1">
      <c r="A255" s="10"/>
      <c r="B255" s="10"/>
      <c r="C255" s="78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2.0" customHeight="1">
      <c r="A256" s="10"/>
      <c r="B256" s="10"/>
      <c r="C256" s="78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2.0" customHeight="1">
      <c r="A257" s="10"/>
      <c r="B257" s="10"/>
      <c r="C257" s="78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2.0" customHeight="1">
      <c r="A258" s="10"/>
      <c r="B258" s="10"/>
      <c r="C258" s="78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2.0" customHeight="1">
      <c r="A259" s="10"/>
      <c r="B259" s="10"/>
      <c r="C259" s="78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2.0" customHeight="1">
      <c r="A260" s="10"/>
      <c r="B260" s="10"/>
      <c r="C260" s="78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2.0" customHeight="1">
      <c r="A261" s="10"/>
      <c r="B261" s="10"/>
      <c r="C261" s="78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2.0" customHeight="1">
      <c r="A262" s="10"/>
      <c r="B262" s="10"/>
      <c r="C262" s="78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2.0" customHeight="1">
      <c r="A263" s="10"/>
      <c r="B263" s="10"/>
      <c r="C263" s="78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2.0" customHeight="1">
      <c r="A264" s="10"/>
      <c r="B264" s="10"/>
      <c r="C264" s="78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2.0" customHeight="1">
      <c r="A265" s="10"/>
      <c r="B265" s="10"/>
      <c r="C265" s="78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2.0" customHeight="1">
      <c r="A266" s="10"/>
      <c r="B266" s="10"/>
      <c r="C266" s="78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2.0" customHeight="1">
      <c r="A267" s="10"/>
      <c r="B267" s="10"/>
      <c r="C267" s="78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0" customHeight="1">
      <c r="A268" s="10"/>
      <c r="B268" s="10"/>
      <c r="C268" s="78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2.0" customHeight="1">
      <c r="A269" s="10"/>
      <c r="B269" s="10"/>
      <c r="C269" s="78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2.0" customHeight="1">
      <c r="A270" s="10"/>
      <c r="B270" s="10"/>
      <c r="C270" s="78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2.0" customHeight="1">
      <c r="A271" s="10"/>
      <c r="B271" s="10"/>
      <c r="C271" s="78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2.0" customHeight="1">
      <c r="A272" s="10"/>
      <c r="B272" s="10"/>
      <c r="C272" s="78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2.0" customHeight="1">
      <c r="A273" s="10"/>
      <c r="B273" s="10"/>
      <c r="C273" s="78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2.0" customHeight="1">
      <c r="A274" s="10"/>
      <c r="B274" s="10"/>
      <c r="C274" s="78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2.0" customHeight="1">
      <c r="A275" s="10"/>
      <c r="B275" s="10"/>
      <c r="C275" s="78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2.0" customHeight="1">
      <c r="A276" s="10"/>
      <c r="B276" s="10"/>
      <c r="C276" s="78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2.0" customHeight="1">
      <c r="A277" s="10"/>
      <c r="B277" s="10"/>
      <c r="C277" s="78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2.0" customHeight="1">
      <c r="A278" s="10"/>
      <c r="B278" s="10"/>
      <c r="C278" s="78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2.0" customHeight="1">
      <c r="A279" s="10"/>
      <c r="B279" s="10"/>
      <c r="C279" s="78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2.0" customHeight="1">
      <c r="A280" s="10"/>
      <c r="B280" s="10"/>
      <c r="C280" s="78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2.0" customHeight="1">
      <c r="A281" s="10"/>
      <c r="B281" s="10"/>
      <c r="C281" s="78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2.0" customHeight="1">
      <c r="A282" s="10"/>
      <c r="B282" s="10"/>
      <c r="C282" s="78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2.0" customHeight="1">
      <c r="A283" s="10"/>
      <c r="B283" s="10"/>
      <c r="C283" s="78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2.0" customHeight="1">
      <c r="A284" s="10"/>
      <c r="B284" s="10"/>
      <c r="C284" s="78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2.0" customHeight="1">
      <c r="A285" s="10"/>
      <c r="B285" s="10"/>
      <c r="C285" s="78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2.0" customHeight="1">
      <c r="A286" s="10"/>
      <c r="B286" s="10"/>
      <c r="C286" s="78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2.0" customHeight="1">
      <c r="A287" s="10"/>
      <c r="B287" s="10"/>
      <c r="C287" s="78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2.0" customHeight="1">
      <c r="A288" s="10"/>
      <c r="B288" s="10"/>
      <c r="C288" s="78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2.0" customHeight="1">
      <c r="A289" s="10"/>
      <c r="B289" s="10"/>
      <c r="C289" s="78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2.0" customHeight="1">
      <c r="A290" s="10"/>
      <c r="B290" s="10"/>
      <c r="C290" s="78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2.0" customHeight="1">
      <c r="A291" s="10"/>
      <c r="B291" s="10"/>
      <c r="C291" s="78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2.0" customHeight="1">
      <c r="A292" s="10"/>
      <c r="B292" s="10"/>
      <c r="C292" s="78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2.0" customHeight="1">
      <c r="A293" s="10"/>
      <c r="B293" s="10"/>
      <c r="C293" s="78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2.0" customHeight="1">
      <c r="A294" s="10"/>
      <c r="B294" s="10"/>
      <c r="C294" s="78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2.0" customHeight="1">
      <c r="A295" s="10"/>
      <c r="B295" s="10"/>
      <c r="C295" s="78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2.0" customHeight="1">
      <c r="A296" s="10"/>
      <c r="B296" s="10"/>
      <c r="C296" s="78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2.0" customHeight="1">
      <c r="A297" s="10"/>
      <c r="B297" s="10"/>
      <c r="C297" s="78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6.0"/>
    <col customWidth="1" min="2" max="2" width="0.38"/>
    <col customWidth="1" min="3" max="3" width="19.38"/>
    <col customWidth="1" min="4" max="4" width="20.25"/>
    <col customWidth="1" min="5" max="5" width="19.75"/>
    <col customWidth="1" hidden="1" min="6" max="6" width="4.0"/>
    <col customWidth="1" hidden="1" min="7" max="7" width="23.75"/>
    <col customWidth="1" hidden="1" min="8" max="9" width="17.75"/>
    <col customWidth="1" hidden="1" min="10" max="10" width="0.38"/>
    <col customWidth="1" hidden="1" min="11" max="11" width="17.75"/>
    <col customWidth="1" hidden="1" min="12" max="12" width="24.25"/>
    <col customWidth="1" min="13" max="13" width="8.25"/>
    <col customWidth="1" min="14" max="17" width="11.38"/>
    <col customWidth="1" min="18" max="29" width="10.0"/>
  </cols>
  <sheetData>
    <row r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>
      <c r="A2" s="5" t="s">
        <v>0</v>
      </c>
      <c r="B2" s="6"/>
      <c r="C2" s="177" t="s">
        <v>142</v>
      </c>
      <c r="D2" s="177" t="s">
        <v>143</v>
      </c>
      <c r="E2" s="145" t="s">
        <v>3</v>
      </c>
      <c r="F2" s="10"/>
      <c r="G2" s="10" t="s">
        <v>101</v>
      </c>
      <c r="H2" s="10" t="s">
        <v>102</v>
      </c>
      <c r="I2" s="10" t="s">
        <v>103</v>
      </c>
      <c r="J2" s="10"/>
      <c r="K2" s="10" t="s">
        <v>104</v>
      </c>
      <c r="L2" s="10"/>
      <c r="M2" s="4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ht="12.75" customHeight="1">
      <c r="A3" s="13" t="s">
        <v>5</v>
      </c>
      <c r="B3" s="14"/>
      <c r="C3" s="146"/>
      <c r="D3" s="100"/>
      <c r="E3" s="100"/>
      <c r="F3" s="100"/>
      <c r="G3" s="10"/>
      <c r="H3" s="10"/>
      <c r="I3" s="10"/>
      <c r="J3" s="10"/>
      <c r="K3" s="101"/>
      <c r="L3" s="10" t="s">
        <v>131</v>
      </c>
      <c r="M3" s="49"/>
      <c r="N3" s="10"/>
      <c r="O3" s="10"/>
      <c r="P3" s="10"/>
      <c r="Q3" s="10" t="s">
        <v>144</v>
      </c>
      <c r="R3" s="178">
        <v>44028.0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ht="12.0" customHeight="1">
      <c r="A4" s="18" t="s">
        <v>6</v>
      </c>
      <c r="B4" s="14"/>
      <c r="C4" s="148">
        <v>11505.29</v>
      </c>
      <c r="D4" s="77">
        <v>11505.29</v>
      </c>
      <c r="E4" s="70"/>
      <c r="F4" s="70"/>
      <c r="G4" s="101"/>
      <c r="H4" s="101"/>
      <c r="I4" s="101"/>
      <c r="J4" s="10"/>
      <c r="K4" s="101"/>
      <c r="L4" s="10"/>
      <c r="M4" s="4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ht="12.0" customHeight="1">
      <c r="A5" s="18" t="s">
        <v>7</v>
      </c>
      <c r="B5" s="14"/>
      <c r="C5" s="148">
        <v>200.0</v>
      </c>
      <c r="D5" s="161">
        <f>266.3+76.7</f>
        <v>343</v>
      </c>
      <c r="E5" s="179">
        <f t="shared" ref="E5:E9" si="1">(C5-D5)*-1</f>
        <v>143</v>
      </c>
      <c r="F5" s="70"/>
      <c r="G5" s="101"/>
      <c r="H5" s="103"/>
      <c r="I5" s="103"/>
      <c r="J5" s="10"/>
      <c r="K5" s="101"/>
      <c r="L5" s="10"/>
      <c r="M5" s="4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ht="12.0" customHeight="1">
      <c r="A6" s="18" t="s">
        <v>8</v>
      </c>
      <c r="B6" s="14"/>
      <c r="C6" s="148">
        <v>22000.0</v>
      </c>
      <c r="D6" s="161">
        <v>25549.0</v>
      </c>
      <c r="E6" s="179">
        <f t="shared" si="1"/>
        <v>3549</v>
      </c>
      <c r="F6" s="70"/>
      <c r="G6" s="104"/>
      <c r="H6" s="104"/>
      <c r="I6" s="105"/>
      <c r="J6" s="10"/>
      <c r="K6" s="104"/>
      <c r="L6" s="26"/>
      <c r="M6" s="33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ht="12.0" customHeight="1">
      <c r="A7" s="18" t="s">
        <v>10</v>
      </c>
      <c r="B7" s="14"/>
      <c r="C7" s="148"/>
      <c r="D7" s="161">
        <f>418+443.75+375+180</f>
        <v>1416.75</v>
      </c>
      <c r="E7" s="179">
        <f t="shared" si="1"/>
        <v>1416.75</v>
      </c>
      <c r="F7" s="70"/>
      <c r="G7" s="104"/>
      <c r="H7" s="104"/>
      <c r="I7" s="105"/>
      <c r="J7" s="10"/>
      <c r="K7" s="104"/>
      <c r="L7" s="26"/>
      <c r="M7" s="10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ht="12.0" customHeight="1">
      <c r="A8" s="18" t="s">
        <v>11</v>
      </c>
      <c r="B8" s="14"/>
      <c r="C8" s="148">
        <v>0.0</v>
      </c>
      <c r="D8" s="161">
        <v>373.22</v>
      </c>
      <c r="E8" s="179">
        <f t="shared" si="1"/>
        <v>373.22</v>
      </c>
      <c r="F8" s="70"/>
      <c r="G8" s="105"/>
      <c r="H8" s="26"/>
      <c r="I8" s="26"/>
      <c r="J8" s="10"/>
      <c r="K8" s="26"/>
      <c r="L8" s="26"/>
      <c r="M8" s="10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ht="12.0" customHeight="1">
      <c r="A9" s="18" t="s">
        <v>13</v>
      </c>
      <c r="B9" s="14"/>
      <c r="C9" s="148">
        <v>2000.0</v>
      </c>
      <c r="D9" s="161">
        <v>2013.45</v>
      </c>
      <c r="E9" s="179">
        <f t="shared" si="1"/>
        <v>13.45</v>
      </c>
      <c r="F9" s="70"/>
      <c r="G9" s="104"/>
      <c r="H9" s="104"/>
      <c r="I9" s="105"/>
      <c r="J9" s="10"/>
      <c r="K9" s="104"/>
      <c r="L9" s="26"/>
      <c r="M9" s="33"/>
      <c r="N9" s="33"/>
      <c r="O9" s="33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ht="12.0" customHeight="1">
      <c r="A10" s="18" t="s">
        <v>14</v>
      </c>
      <c r="B10" s="14"/>
      <c r="C10" s="148">
        <v>100.0</v>
      </c>
      <c r="D10" s="180">
        <v>0.0</v>
      </c>
      <c r="E10" s="179">
        <f>(C10-D10)</f>
        <v>100</v>
      </c>
      <c r="F10" s="70"/>
      <c r="G10" s="26"/>
      <c r="H10" s="26"/>
      <c r="I10" s="26"/>
      <c r="J10" s="10"/>
      <c r="K10" s="104"/>
      <c r="L10" s="26"/>
      <c r="M10" s="106"/>
      <c r="N10" s="33"/>
      <c r="O10" s="33"/>
      <c r="P10" s="118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ht="12.0" customHeight="1">
      <c r="A11" s="18" t="s">
        <v>135</v>
      </c>
      <c r="B11" s="14"/>
      <c r="C11" s="148">
        <v>2625.0</v>
      </c>
      <c r="D11" s="161">
        <v>3342.53</v>
      </c>
      <c r="E11" s="179">
        <f t="shared" ref="E11:E12" si="2">(C11-D11)*-1</f>
        <v>717.53</v>
      </c>
      <c r="F11" s="70"/>
      <c r="G11" s="26"/>
      <c r="H11" s="26"/>
      <c r="I11" s="26"/>
      <c r="J11" s="10"/>
      <c r="K11" s="26"/>
      <c r="L11" s="26"/>
      <c r="M11" s="33"/>
      <c r="N11" s="33"/>
      <c r="O11" s="3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ht="12.0" customHeight="1">
      <c r="A12" s="18" t="s">
        <v>107</v>
      </c>
      <c r="B12" s="14"/>
      <c r="C12" s="148">
        <v>350.0</v>
      </c>
      <c r="D12" s="180">
        <v>350.0</v>
      </c>
      <c r="E12" s="179">
        <f t="shared" si="2"/>
        <v>0</v>
      </c>
      <c r="F12" s="70"/>
      <c r="G12" s="104"/>
      <c r="H12" s="105"/>
      <c r="I12" s="105"/>
      <c r="J12" s="10"/>
      <c r="K12" s="104"/>
      <c r="L12" s="26"/>
      <c r="M12" s="33"/>
      <c r="N12" s="33"/>
      <c r="O12" s="33"/>
      <c r="P12" s="26"/>
      <c r="Q12" s="117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ht="12.0" customHeight="1">
      <c r="A13" s="18" t="s">
        <v>21</v>
      </c>
      <c r="B13" s="14"/>
      <c r="C13" s="148">
        <v>2.0</v>
      </c>
      <c r="D13" s="180">
        <v>0.32</v>
      </c>
      <c r="E13" s="179">
        <f>(C13-D13)</f>
        <v>1.68</v>
      </c>
      <c r="F13" s="70"/>
      <c r="G13" s="26"/>
      <c r="H13" s="104"/>
      <c r="I13" s="26"/>
      <c r="J13" s="10"/>
      <c r="K13" s="104"/>
      <c r="L13" s="26"/>
      <c r="M13" s="106"/>
      <c r="N13" s="33"/>
      <c r="O13" s="33"/>
      <c r="P13" s="118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ht="12.0" customHeight="1">
      <c r="A14" s="35" t="s">
        <v>22</v>
      </c>
      <c r="B14" s="181"/>
      <c r="C14" s="182">
        <f t="shared" ref="C14:D14" si="3">SUM(C4:C13)</f>
        <v>38782.29</v>
      </c>
      <c r="D14" s="183">
        <f t="shared" si="3"/>
        <v>44893.56</v>
      </c>
      <c r="E14" s="184">
        <f>(C14-D14)*-1</f>
        <v>6111.27</v>
      </c>
      <c r="F14" s="121"/>
      <c r="G14" s="122">
        <f t="shared" ref="G14:K14" si="4">SUM(G4:G12)</f>
        <v>0</v>
      </c>
      <c r="H14" s="122">
        <f t="shared" si="4"/>
        <v>0</v>
      </c>
      <c r="I14" s="122">
        <f t="shared" si="4"/>
        <v>0</v>
      </c>
      <c r="J14" s="122">
        <f t="shared" si="4"/>
        <v>0</v>
      </c>
      <c r="K14" s="122">
        <f t="shared" si="4"/>
        <v>0</v>
      </c>
      <c r="L14" s="10"/>
      <c r="M14" s="106"/>
      <c r="N14" s="49"/>
      <c r="O14" s="4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ht="11.25" customHeight="1">
      <c r="A15" s="86" t="s">
        <v>24</v>
      </c>
      <c r="B15" s="14"/>
      <c r="C15" s="148"/>
      <c r="D15" s="70"/>
      <c r="E15" s="70">
        <f t="shared" ref="E15:E40" si="5">C15-D15</f>
        <v>0</v>
      </c>
      <c r="F15" s="70"/>
      <c r="G15" s="10"/>
      <c r="H15" s="10"/>
      <c r="I15" s="10"/>
      <c r="J15" s="10"/>
      <c r="K15" s="10"/>
      <c r="L15" s="10"/>
      <c r="M15" s="123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ht="12.0" customHeight="1">
      <c r="A16" s="41" t="s">
        <v>25</v>
      </c>
      <c r="B16" s="14"/>
      <c r="C16" s="148"/>
      <c r="D16" s="70"/>
      <c r="E16" s="70">
        <f t="shared" si="5"/>
        <v>0</v>
      </c>
      <c r="F16" s="70"/>
      <c r="G16" s="10"/>
      <c r="H16" s="10"/>
      <c r="I16" s="10"/>
      <c r="J16" s="10"/>
      <c r="K16" s="101"/>
      <c r="L16" s="10"/>
      <c r="M16" s="10"/>
      <c r="N16" s="10"/>
      <c r="O16" s="10"/>
      <c r="P16" s="10"/>
      <c r="Q16" s="7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ht="12.0" customHeight="1">
      <c r="A17" s="18" t="s">
        <v>26</v>
      </c>
      <c r="B17" s="14"/>
      <c r="C17" s="148">
        <v>100.0</v>
      </c>
      <c r="D17" s="70">
        <f>100+41.8</f>
        <v>141.8</v>
      </c>
      <c r="E17" s="70">
        <f t="shared" si="5"/>
        <v>-41.8</v>
      </c>
      <c r="F17" s="70"/>
      <c r="G17" s="101"/>
      <c r="H17" s="101"/>
      <c r="I17" s="101"/>
      <c r="J17" s="10"/>
      <c r="K17" s="10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ht="12.0" customHeight="1">
      <c r="A18" s="18" t="s">
        <v>27</v>
      </c>
      <c r="B18" s="14"/>
      <c r="C18" s="148">
        <v>1000.0</v>
      </c>
      <c r="D18" s="70">
        <v>0.0</v>
      </c>
      <c r="E18" s="70">
        <f t="shared" si="5"/>
        <v>1000</v>
      </c>
      <c r="F18" s="70"/>
      <c r="G18" s="101"/>
      <c r="H18" s="103"/>
      <c r="I18" s="103"/>
      <c r="J18" s="10"/>
      <c r="K18" s="101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ht="12.0" customHeight="1">
      <c r="A19" s="18" t="s">
        <v>28</v>
      </c>
      <c r="B19" s="14"/>
      <c r="C19" s="148">
        <v>1500.0</v>
      </c>
      <c r="D19" s="70">
        <v>0.0</v>
      </c>
      <c r="E19" s="70">
        <f t="shared" si="5"/>
        <v>1500</v>
      </c>
      <c r="F19" s="7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ht="12.0" customHeight="1">
      <c r="A20" s="18" t="s">
        <v>29</v>
      </c>
      <c r="B20" s="14"/>
      <c r="C20" s="148">
        <v>2000.0</v>
      </c>
      <c r="D20" s="70">
        <v>1816.37</v>
      </c>
      <c r="E20" s="70">
        <f t="shared" si="5"/>
        <v>183.63</v>
      </c>
      <c r="F20" s="70"/>
      <c r="G20" s="101"/>
      <c r="H20" s="103"/>
      <c r="I20" s="103"/>
      <c r="J20" s="10"/>
      <c r="K20" s="10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ht="12.0" customHeight="1">
      <c r="A21" s="43" t="s">
        <v>145</v>
      </c>
      <c r="B21" s="14"/>
      <c r="C21" s="148">
        <v>5000.0</v>
      </c>
      <c r="D21" s="70">
        <v>2992.71</v>
      </c>
      <c r="E21" s="70">
        <f t="shared" si="5"/>
        <v>2007.29</v>
      </c>
      <c r="F21" s="70"/>
      <c r="G21" s="101"/>
      <c r="H21" s="103"/>
      <c r="I21" s="103"/>
      <c r="J21" s="10"/>
      <c r="K21" s="101"/>
      <c r="L21" s="10"/>
      <c r="M21" s="164"/>
      <c r="N21" s="49"/>
      <c r="O21" s="4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ht="18.75" customHeight="1">
      <c r="A22" s="41" t="s">
        <v>31</v>
      </c>
      <c r="B22" s="44"/>
      <c r="C22" s="167">
        <f t="shared" ref="C22:D22" si="6">SUM(C17:C21)</f>
        <v>9600</v>
      </c>
      <c r="D22" s="185">
        <f t="shared" si="6"/>
        <v>4950.88</v>
      </c>
      <c r="E22" s="186">
        <f t="shared" si="5"/>
        <v>4649.12</v>
      </c>
      <c r="F22" s="44"/>
      <c r="G22" s="44">
        <f t="shared" ref="G22:K22" si="7">SUM(G16:G21)</f>
        <v>0</v>
      </c>
      <c r="H22" s="44">
        <f t="shared" si="7"/>
        <v>0</v>
      </c>
      <c r="I22" s="44">
        <f t="shared" si="7"/>
        <v>0</v>
      </c>
      <c r="J22" s="44">
        <f t="shared" si="7"/>
        <v>0</v>
      </c>
      <c r="K22" s="44">
        <f t="shared" si="7"/>
        <v>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ht="14.25" customHeight="1">
      <c r="A23" s="18"/>
      <c r="B23" s="48"/>
      <c r="C23" s="148"/>
      <c r="D23" s="70"/>
      <c r="E23" s="70">
        <f t="shared" si="5"/>
        <v>0</v>
      </c>
      <c r="F23" s="7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ht="12.0" customHeight="1">
      <c r="A24" s="41" t="s">
        <v>32</v>
      </c>
      <c r="B24" s="48"/>
      <c r="C24" s="148"/>
      <c r="D24" s="70"/>
      <c r="E24" s="70">
        <f t="shared" si="5"/>
        <v>0</v>
      </c>
      <c r="F24" s="7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ht="12.0" customHeight="1">
      <c r="A25" s="18" t="s">
        <v>33</v>
      </c>
      <c r="B25" s="48"/>
      <c r="C25" s="148">
        <v>800.0</v>
      </c>
      <c r="D25" s="70">
        <v>450.0</v>
      </c>
      <c r="E25" s="70">
        <f t="shared" si="5"/>
        <v>350</v>
      </c>
      <c r="F25" s="70"/>
      <c r="G25" s="10" t="s">
        <v>111</v>
      </c>
      <c r="H25" s="10"/>
      <c r="I25" s="10"/>
      <c r="J25" s="10"/>
      <c r="K25" s="10">
        <v>0.0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ht="12.0" customHeight="1">
      <c r="A26" s="18" t="s">
        <v>146</v>
      </c>
      <c r="B26" s="48"/>
      <c r="C26" s="148">
        <v>2400.0</v>
      </c>
      <c r="D26" s="70">
        <f>1102.53+1028.4+1170+80</f>
        <v>3380.93</v>
      </c>
      <c r="E26" s="70">
        <f t="shared" si="5"/>
        <v>-980.93</v>
      </c>
      <c r="F26" s="70"/>
      <c r="G26" s="101"/>
      <c r="H26" s="101"/>
      <c r="I26" s="101"/>
      <c r="J26" s="10"/>
      <c r="K26" s="101"/>
      <c r="L26" s="10"/>
      <c r="M26" s="10" t="s">
        <v>147</v>
      </c>
      <c r="N26" s="187"/>
      <c r="O26" s="49"/>
      <c r="P26" s="49"/>
      <c r="Q26" s="49"/>
      <c r="R26" s="49"/>
      <c r="S26" s="49"/>
      <c r="T26" s="49"/>
      <c r="U26" s="10"/>
      <c r="V26" s="10"/>
      <c r="W26" s="10"/>
      <c r="X26" s="10"/>
      <c r="Y26" s="10"/>
      <c r="Z26" s="10"/>
      <c r="AA26" s="10"/>
      <c r="AB26" s="10"/>
      <c r="AC26" s="10"/>
    </row>
    <row r="27" ht="12.0" customHeight="1">
      <c r="A27" s="18" t="s">
        <v>148</v>
      </c>
      <c r="B27" s="14"/>
      <c r="C27" s="148">
        <v>1200.0</v>
      </c>
      <c r="D27" s="10">
        <f>239+18.51+1075.33</f>
        <v>1332.84</v>
      </c>
      <c r="E27" s="70">
        <f t="shared" si="5"/>
        <v>-132.84</v>
      </c>
      <c r="F27" s="70"/>
      <c r="G27" s="101"/>
      <c r="H27" s="101"/>
      <c r="I27" s="101"/>
      <c r="J27" s="10"/>
      <c r="K27" s="10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ht="12.0" customHeight="1">
      <c r="A28" s="18" t="s">
        <v>38</v>
      </c>
      <c r="B28" s="14"/>
      <c r="C28" s="148">
        <v>100.0</v>
      </c>
      <c r="D28" s="70">
        <v>112.29</v>
      </c>
      <c r="E28" s="70">
        <f t="shared" si="5"/>
        <v>-12.29</v>
      </c>
      <c r="F28" s="70"/>
      <c r="G28" s="101"/>
      <c r="H28" s="103"/>
      <c r="I28" s="103"/>
      <c r="J28" s="10"/>
      <c r="K28" s="10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ht="12.0" customHeight="1">
      <c r="A29" s="41" t="s">
        <v>39</v>
      </c>
      <c r="B29" s="44"/>
      <c r="C29" s="167">
        <f t="shared" ref="C29:D29" si="8">SUM(C25:C28)</f>
        <v>4500</v>
      </c>
      <c r="D29" s="185">
        <f t="shared" si="8"/>
        <v>5276.06</v>
      </c>
      <c r="E29" s="186">
        <f t="shared" si="5"/>
        <v>-776.06</v>
      </c>
      <c r="F29" s="44"/>
      <c r="G29" s="44">
        <f t="shared" ref="G29:K29" si="9">SUM(G25:G28)</f>
        <v>0</v>
      </c>
      <c r="H29" s="44">
        <f t="shared" si="9"/>
        <v>0</v>
      </c>
      <c r="I29" s="44">
        <f t="shared" si="9"/>
        <v>0</v>
      </c>
      <c r="J29" s="44">
        <f t="shared" si="9"/>
        <v>0</v>
      </c>
      <c r="K29" s="44">
        <f t="shared" si="9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ht="7.5" customHeight="1">
      <c r="A30" s="18"/>
      <c r="B30" s="14"/>
      <c r="C30" s="148"/>
      <c r="D30" s="70"/>
      <c r="E30" s="70">
        <f t="shared" si="5"/>
        <v>0</v>
      </c>
      <c r="F30" s="7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ht="12.0" customHeight="1">
      <c r="A31" s="41" t="s">
        <v>40</v>
      </c>
      <c r="B31" s="14"/>
      <c r="C31" s="148"/>
      <c r="D31" s="70"/>
      <c r="E31" s="70">
        <f t="shared" si="5"/>
        <v>0</v>
      </c>
      <c r="F31" s="7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ht="12.0" customHeight="1">
      <c r="A32" s="52" t="s">
        <v>41</v>
      </c>
      <c r="B32" s="14"/>
      <c r="C32" s="148">
        <v>500.0</v>
      </c>
      <c r="D32" s="70">
        <v>2489.5</v>
      </c>
      <c r="E32" s="70">
        <f t="shared" si="5"/>
        <v>-1989.5</v>
      </c>
      <c r="F32" s="70"/>
      <c r="G32" s="104"/>
      <c r="H32" s="105"/>
      <c r="I32" s="105"/>
      <c r="J32" s="10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ht="12.0" customHeight="1">
      <c r="A33" s="41" t="s">
        <v>43</v>
      </c>
      <c r="B33" s="44"/>
      <c r="C33" s="167">
        <f t="shared" ref="C33:D33" si="10">SUM(C32)</f>
        <v>500</v>
      </c>
      <c r="D33" s="185">
        <f t="shared" si="10"/>
        <v>2489.5</v>
      </c>
      <c r="E33" s="70">
        <f t="shared" si="5"/>
        <v>-1989.5</v>
      </c>
      <c r="F33" s="44"/>
      <c r="G33" s="44">
        <f t="shared" ref="G33:K33" si="11">SUM(G32)</f>
        <v>0</v>
      </c>
      <c r="H33" s="44">
        <f t="shared" si="11"/>
        <v>0</v>
      </c>
      <c r="I33" s="44">
        <f t="shared" si="11"/>
        <v>0</v>
      </c>
      <c r="J33" s="44">
        <f t="shared" si="11"/>
        <v>0</v>
      </c>
      <c r="K33" s="44">
        <f t="shared" si="11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ht="6.75" customHeight="1">
      <c r="A34" s="18"/>
      <c r="B34" s="14"/>
      <c r="C34" s="148"/>
      <c r="D34" s="70"/>
      <c r="E34" s="70">
        <f t="shared" si="5"/>
        <v>0</v>
      </c>
      <c r="F34" s="7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ht="12.0" customHeight="1">
      <c r="A35" s="41" t="s">
        <v>44</v>
      </c>
      <c r="B35" s="14"/>
      <c r="C35" s="148"/>
      <c r="D35" s="70"/>
      <c r="E35" s="70">
        <f t="shared" si="5"/>
        <v>0</v>
      </c>
      <c r="F35" s="7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ht="12.0" customHeight="1">
      <c r="A36" s="18" t="s">
        <v>45</v>
      </c>
      <c r="B36" s="14"/>
      <c r="C36" s="148">
        <v>400.0</v>
      </c>
      <c r="D36" s="70">
        <f>83.07+270</f>
        <v>353.07</v>
      </c>
      <c r="E36" s="70">
        <f t="shared" si="5"/>
        <v>46.93</v>
      </c>
      <c r="F36" s="70"/>
      <c r="G36" s="101"/>
      <c r="H36" s="103"/>
      <c r="I36" s="103"/>
      <c r="J36" s="10"/>
      <c r="K36" s="10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ht="12.0" customHeight="1">
      <c r="A37" s="18" t="s">
        <v>46</v>
      </c>
      <c r="B37" s="14"/>
      <c r="C37" s="148">
        <v>4500.0</v>
      </c>
      <c r="D37" s="70">
        <v>4427.0</v>
      </c>
      <c r="E37" s="70">
        <f t="shared" si="5"/>
        <v>73</v>
      </c>
      <c r="F37" s="70"/>
      <c r="G37" s="101"/>
      <c r="H37" s="101"/>
      <c r="I37" s="101"/>
      <c r="J37" s="10"/>
      <c r="K37" s="10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ht="12.0" customHeight="1">
      <c r="A38" s="18" t="s">
        <v>149</v>
      </c>
      <c r="B38" s="14"/>
      <c r="C38" s="148">
        <v>2400.0</v>
      </c>
      <c r="D38" s="70">
        <f>1476.25+97.5</f>
        <v>1573.75</v>
      </c>
      <c r="E38" s="70">
        <f t="shared" si="5"/>
        <v>826.25</v>
      </c>
      <c r="F38" s="70"/>
      <c r="G38" s="101"/>
      <c r="H38" s="101"/>
      <c r="I38" s="101"/>
      <c r="J38" s="10"/>
      <c r="K38" s="101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ht="12.0" customHeight="1">
      <c r="A39" s="41" t="s">
        <v>48</v>
      </c>
      <c r="B39" s="44"/>
      <c r="C39" s="167">
        <f t="shared" ref="C39:D39" si="12">SUM(C36,C37,C38)</f>
        <v>7300</v>
      </c>
      <c r="D39" s="185">
        <f t="shared" si="12"/>
        <v>6353.82</v>
      </c>
      <c r="E39" s="186">
        <f t="shared" si="5"/>
        <v>946.18</v>
      </c>
      <c r="F39" s="44"/>
      <c r="G39" s="44">
        <f t="shared" ref="G39:K39" si="13">SUM(G36,G37,G38)</f>
        <v>0</v>
      </c>
      <c r="H39" s="44">
        <f t="shared" si="13"/>
        <v>0</v>
      </c>
      <c r="I39" s="44">
        <f t="shared" si="13"/>
        <v>0</v>
      </c>
      <c r="J39" s="44">
        <f t="shared" si="13"/>
        <v>0</v>
      </c>
      <c r="K39" s="44">
        <f t="shared" si="13"/>
        <v>0</v>
      </c>
      <c r="L39" s="10"/>
      <c r="M39" s="10"/>
      <c r="N39" s="7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ht="9.0" customHeight="1">
      <c r="A40" s="18"/>
      <c r="B40" s="18"/>
      <c r="C40" s="148"/>
      <c r="D40" s="70"/>
      <c r="E40" s="70">
        <f t="shared" si="5"/>
        <v>0</v>
      </c>
      <c r="F40" s="7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ht="12.0" customHeight="1">
      <c r="A41" s="41" t="s">
        <v>49</v>
      </c>
      <c r="B41" s="14"/>
      <c r="C41" s="148"/>
      <c r="D41" s="70"/>
      <c r="E41" s="70"/>
      <c r="F41" s="70"/>
      <c r="G41" s="26"/>
      <c r="H41" s="26"/>
      <c r="I41" s="26"/>
      <c r="J41" s="10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ht="12.0" customHeight="1">
      <c r="A42" s="18" t="s">
        <v>50</v>
      </c>
      <c r="B42" s="14"/>
      <c r="C42" s="148">
        <v>200.0</v>
      </c>
      <c r="D42" s="70">
        <v>200.0</v>
      </c>
      <c r="E42" s="70">
        <f t="shared" ref="E42:E74" si="14">C42-D42</f>
        <v>0</v>
      </c>
      <c r="F42" s="70"/>
      <c r="G42" s="104"/>
      <c r="H42" s="104"/>
      <c r="I42" s="104"/>
      <c r="J42" s="10"/>
      <c r="K42" s="104"/>
      <c r="L42" s="26" t="s">
        <v>139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ht="12.0" customHeight="1">
      <c r="A43" s="18" t="s">
        <v>118</v>
      </c>
      <c r="B43" s="14"/>
      <c r="C43" s="148">
        <v>30.0</v>
      </c>
      <c r="D43" s="70">
        <v>30.0</v>
      </c>
      <c r="E43" s="70">
        <f t="shared" si="14"/>
        <v>0</v>
      </c>
      <c r="F43" s="70"/>
      <c r="G43" s="104"/>
      <c r="H43" s="104"/>
      <c r="I43" s="104"/>
      <c r="J43" s="10"/>
      <c r="K43" s="104"/>
      <c r="L43" s="26" t="s">
        <v>139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ht="12.0" customHeight="1">
      <c r="A44" s="18" t="s">
        <v>52</v>
      </c>
      <c r="B44" s="14"/>
      <c r="C44" s="148">
        <v>150.0</v>
      </c>
      <c r="D44" s="70">
        <f>308.14+38+25</f>
        <v>371.14</v>
      </c>
      <c r="E44" s="70">
        <f t="shared" si="14"/>
        <v>-221.14</v>
      </c>
      <c r="F44" s="70"/>
      <c r="G44" s="101"/>
      <c r="H44" s="101"/>
      <c r="I44" s="101"/>
      <c r="J44" s="10"/>
      <c r="K44" s="101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ht="12.0" customHeight="1">
      <c r="A45" s="18" t="s">
        <v>119</v>
      </c>
      <c r="B45" s="14"/>
      <c r="C45" s="148">
        <v>1000.0</v>
      </c>
      <c r="D45" s="153">
        <v>1126.47</v>
      </c>
      <c r="E45" s="70">
        <f t="shared" si="14"/>
        <v>-126.47</v>
      </c>
      <c r="F45" s="70"/>
      <c r="G45" s="101"/>
      <c r="H45" s="101"/>
      <c r="I45" s="101"/>
      <c r="J45" s="10"/>
      <c r="K45" s="101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ht="12.0" customHeight="1">
      <c r="A46" s="18" t="s">
        <v>54</v>
      </c>
      <c r="B46" s="14"/>
      <c r="C46" s="148">
        <v>200.0</v>
      </c>
      <c r="D46" s="70">
        <v>150.0</v>
      </c>
      <c r="E46" s="70">
        <f t="shared" si="14"/>
        <v>50</v>
      </c>
      <c r="F46" s="70"/>
      <c r="G46" s="101"/>
      <c r="H46" s="101"/>
      <c r="I46" s="101"/>
      <c r="J46" s="10"/>
      <c r="K46" s="101"/>
      <c r="L46" s="10" t="s">
        <v>140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ht="12.0" customHeight="1">
      <c r="A47" s="18" t="s">
        <v>55</v>
      </c>
      <c r="B47" s="14"/>
      <c r="C47" s="148">
        <v>125.0</v>
      </c>
      <c r="D47" s="70">
        <v>125.0</v>
      </c>
      <c r="E47" s="70">
        <f t="shared" si="14"/>
        <v>0</v>
      </c>
      <c r="F47" s="70"/>
      <c r="G47" s="101"/>
      <c r="H47" s="101"/>
      <c r="I47" s="101"/>
      <c r="J47" s="10"/>
      <c r="K47" s="101"/>
      <c r="L47" s="10" t="s">
        <v>140</v>
      </c>
      <c r="M47" s="10" t="s">
        <v>150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ht="12.0" customHeight="1">
      <c r="A48" s="18" t="s">
        <v>56</v>
      </c>
      <c r="B48" s="14"/>
      <c r="C48" s="148">
        <v>330.0</v>
      </c>
      <c r="D48" s="70">
        <v>215.0</v>
      </c>
      <c r="E48" s="70">
        <f t="shared" si="14"/>
        <v>115</v>
      </c>
      <c r="F48" s="70"/>
      <c r="G48" s="101"/>
      <c r="H48" s="101"/>
      <c r="I48" s="101"/>
      <c r="J48" s="10"/>
      <c r="K48" s="101"/>
      <c r="L48" s="10" t="s">
        <v>139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ht="12.0" customHeight="1">
      <c r="A49" s="18" t="s">
        <v>57</v>
      </c>
      <c r="B49" s="14"/>
      <c r="C49" s="148">
        <v>1000.0</v>
      </c>
      <c r="D49" s="70">
        <v>0.0</v>
      </c>
      <c r="E49" s="70">
        <f t="shared" si="14"/>
        <v>1000</v>
      </c>
      <c r="F49" s="70"/>
      <c r="G49" s="101"/>
      <c r="H49" s="101"/>
      <c r="I49" s="101"/>
      <c r="J49" s="10"/>
      <c r="K49" s="101"/>
      <c r="L49" s="10" t="s">
        <v>139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ht="12.0" customHeight="1">
      <c r="A50" s="18" t="s">
        <v>93</v>
      </c>
      <c r="B50" s="14"/>
      <c r="C50" s="148">
        <v>2500.0</v>
      </c>
      <c r="D50" s="70">
        <v>0.0</v>
      </c>
      <c r="E50" s="70">
        <f t="shared" si="14"/>
        <v>2500</v>
      </c>
      <c r="F50" s="70"/>
      <c r="G50" s="101"/>
      <c r="H50" s="101"/>
      <c r="I50" s="101"/>
      <c r="J50" s="10"/>
      <c r="K50" s="103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ht="12.0" customHeight="1">
      <c r="A51" s="18" t="s">
        <v>151</v>
      </c>
      <c r="B51" s="14"/>
      <c r="C51" s="148">
        <v>200.0</v>
      </c>
      <c r="D51" s="70">
        <v>39.75</v>
      </c>
      <c r="E51" s="70">
        <f t="shared" si="14"/>
        <v>160.25</v>
      </c>
      <c r="F51" s="70"/>
      <c r="G51" s="101"/>
      <c r="H51" s="101"/>
      <c r="I51" s="101"/>
      <c r="J51" s="10"/>
      <c r="K51" s="101"/>
      <c r="L51" s="10" t="s">
        <v>152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ht="12.0" customHeight="1">
      <c r="A52" s="18" t="s">
        <v>122</v>
      </c>
      <c r="B52" s="14"/>
      <c r="C52" s="148">
        <v>50.0</v>
      </c>
      <c r="D52" s="70">
        <v>49.44</v>
      </c>
      <c r="E52" s="70">
        <f t="shared" si="14"/>
        <v>0.56</v>
      </c>
      <c r="F52" s="70"/>
      <c r="G52" s="101"/>
      <c r="H52" s="101"/>
      <c r="I52" s="101"/>
      <c r="J52" s="10"/>
      <c r="K52" s="10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ht="12.0" customHeight="1">
      <c r="A53" s="18" t="s">
        <v>94</v>
      </c>
      <c r="B53" s="14"/>
      <c r="C53" s="148">
        <v>150.0</v>
      </c>
      <c r="D53" s="70">
        <v>0.0</v>
      </c>
      <c r="E53" s="70">
        <f t="shared" si="14"/>
        <v>150</v>
      </c>
      <c r="F53" s="70"/>
      <c r="G53" s="101"/>
      <c r="H53" s="101"/>
      <c r="I53" s="101"/>
      <c r="J53" s="10"/>
      <c r="K53" s="10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ht="12.0" customHeight="1">
      <c r="A54" s="18" t="s">
        <v>60</v>
      </c>
      <c r="B54" s="14"/>
      <c r="C54" s="148">
        <v>215.0</v>
      </c>
      <c r="D54" s="70">
        <v>270.0</v>
      </c>
      <c r="E54" s="70">
        <f t="shared" si="14"/>
        <v>-55</v>
      </c>
      <c r="F54" s="70"/>
      <c r="G54" s="101"/>
      <c r="H54" s="101"/>
      <c r="I54" s="101"/>
      <c r="J54" s="10"/>
      <c r="K54" s="10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ht="12.0" customHeight="1">
      <c r="A55" s="18" t="s">
        <v>61</v>
      </c>
      <c r="B55" s="48"/>
      <c r="C55" s="148">
        <v>100.0</v>
      </c>
      <c r="D55" s="70">
        <v>96.0</v>
      </c>
      <c r="E55" s="70">
        <f t="shared" si="14"/>
        <v>4</v>
      </c>
      <c r="F55" s="7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ht="12.0" customHeight="1">
      <c r="A56" s="18" t="s">
        <v>95</v>
      </c>
      <c r="B56" s="14"/>
      <c r="C56" s="148">
        <v>50.0</v>
      </c>
      <c r="D56" s="70">
        <v>0.0</v>
      </c>
      <c r="E56" s="70">
        <f t="shared" si="14"/>
        <v>50</v>
      </c>
      <c r="F56" s="70"/>
      <c r="G56" s="101"/>
      <c r="H56" s="101"/>
      <c r="I56" s="101"/>
      <c r="J56" s="10"/>
      <c r="K56" s="101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ht="12.0" customHeight="1">
      <c r="A57" s="18" t="s">
        <v>62</v>
      </c>
      <c r="B57" s="14"/>
      <c r="C57" s="148">
        <v>120.0</v>
      </c>
      <c r="D57" s="70">
        <v>119.4</v>
      </c>
      <c r="E57" s="70">
        <f t="shared" si="14"/>
        <v>0.6</v>
      </c>
      <c r="F57" s="70"/>
      <c r="G57" s="101"/>
      <c r="H57" s="101"/>
      <c r="I57" s="101"/>
      <c r="J57" s="10"/>
      <c r="K57" s="101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ht="12.0" customHeight="1">
      <c r="A58" s="18" t="s">
        <v>96</v>
      </c>
      <c r="B58" s="10"/>
      <c r="C58" s="148">
        <v>72.0</v>
      </c>
      <c r="D58" s="70">
        <v>47.88</v>
      </c>
      <c r="E58" s="70">
        <f t="shared" si="14"/>
        <v>24.12</v>
      </c>
      <c r="F58" s="70"/>
      <c r="G58" s="10"/>
      <c r="H58" s="10"/>
      <c r="I58" s="10"/>
      <c r="J58" s="10"/>
      <c r="K58" s="10">
        <v>0.0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ht="12.0" customHeight="1">
      <c r="A59" s="41" t="s">
        <v>64</v>
      </c>
      <c r="B59" s="44"/>
      <c r="C59" s="167">
        <f>SUM(C42:C55)</f>
        <v>6250</v>
      </c>
      <c r="D59" s="185">
        <f>SUM(D42:D57)</f>
        <v>2792.2</v>
      </c>
      <c r="E59" s="186">
        <f t="shared" si="14"/>
        <v>3457.8</v>
      </c>
      <c r="F59" s="44"/>
      <c r="G59" s="44">
        <f t="shared" ref="G59:K59" si="15">SUM(G42:G58)</f>
        <v>0</v>
      </c>
      <c r="H59" s="44">
        <f t="shared" si="15"/>
        <v>0</v>
      </c>
      <c r="I59" s="44">
        <f t="shared" si="15"/>
        <v>0</v>
      </c>
      <c r="J59" s="44">
        <f t="shared" si="15"/>
        <v>0</v>
      </c>
      <c r="K59" s="44">
        <f t="shared" si="15"/>
        <v>0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ht="5.25" customHeight="1">
      <c r="A60" s="41"/>
      <c r="B60" s="14"/>
      <c r="C60" s="148"/>
      <c r="D60" s="70"/>
      <c r="E60" s="70">
        <f t="shared" si="14"/>
        <v>0</v>
      </c>
      <c r="F60" s="7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ht="12.0" customHeight="1">
      <c r="A61" s="41" t="s">
        <v>141</v>
      </c>
      <c r="B61" s="14"/>
      <c r="C61" s="148"/>
      <c r="D61" s="70"/>
      <c r="E61" s="70">
        <f t="shared" si="14"/>
        <v>0</v>
      </c>
      <c r="F61" s="7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ht="12.0" customHeight="1">
      <c r="A62" s="18" t="s">
        <v>83</v>
      </c>
      <c r="B62" s="14"/>
      <c r="C62" s="148">
        <v>100.0</v>
      </c>
      <c r="D62" s="70">
        <v>107.34</v>
      </c>
      <c r="E62" s="70">
        <f t="shared" si="14"/>
        <v>-7.34</v>
      </c>
      <c r="F62" s="70"/>
      <c r="G62" s="101"/>
      <c r="H62" s="101"/>
      <c r="I62" s="101"/>
      <c r="J62" s="10"/>
      <c r="K62" s="101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ht="12.0" customHeight="1">
      <c r="A63" s="18" t="s">
        <v>67</v>
      </c>
      <c r="B63" s="14"/>
      <c r="C63" s="148">
        <v>100.0</v>
      </c>
      <c r="D63" s="70">
        <v>0.0</v>
      </c>
      <c r="E63" s="70">
        <f t="shared" si="14"/>
        <v>100</v>
      </c>
      <c r="F63" s="70"/>
      <c r="G63" s="101"/>
      <c r="H63" s="101"/>
      <c r="I63" s="101"/>
      <c r="J63" s="10"/>
      <c r="K63" s="101"/>
      <c r="L63" s="10"/>
      <c r="M63" s="10" t="s">
        <v>153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ht="12.0" customHeight="1">
      <c r="A64" s="18" t="s">
        <v>68</v>
      </c>
      <c r="B64" s="14"/>
      <c r="C64" s="148">
        <v>400.0</v>
      </c>
      <c r="D64" s="70">
        <v>0.0</v>
      </c>
      <c r="E64" s="70">
        <f t="shared" si="14"/>
        <v>400</v>
      </c>
      <c r="F64" s="70"/>
      <c r="G64" s="101"/>
      <c r="H64" s="101"/>
      <c r="I64" s="101"/>
      <c r="J64" s="10"/>
      <c r="K64" s="10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ht="12.0" customHeight="1">
      <c r="A65" s="18" t="s">
        <v>154</v>
      </c>
      <c r="B65" s="14"/>
      <c r="C65" s="148">
        <v>1000.0</v>
      </c>
      <c r="D65" s="10">
        <f>716.19+111.52</f>
        <v>827.71</v>
      </c>
      <c r="E65" s="70">
        <f t="shared" si="14"/>
        <v>172.29</v>
      </c>
      <c r="F65" s="70"/>
      <c r="G65" s="101"/>
      <c r="H65" s="101"/>
      <c r="I65" s="101"/>
      <c r="J65" s="10"/>
      <c r="K65" s="101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ht="12.0" customHeight="1">
      <c r="A66" s="18" t="s">
        <v>155</v>
      </c>
      <c r="B66" s="14"/>
      <c r="C66" s="148">
        <v>1500.0</v>
      </c>
      <c r="D66" s="70">
        <v>1374.13</v>
      </c>
      <c r="E66" s="70">
        <f t="shared" si="14"/>
        <v>125.87</v>
      </c>
      <c r="F66" s="70"/>
      <c r="G66" s="101"/>
      <c r="H66" s="101"/>
      <c r="I66" s="101"/>
      <c r="J66" s="10"/>
      <c r="K66" s="101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ht="12.0" customHeight="1">
      <c r="A67" s="18" t="s">
        <v>156</v>
      </c>
      <c r="B67" s="14"/>
      <c r="C67" s="148">
        <v>3000.0</v>
      </c>
      <c r="D67" s="70">
        <f>330+330+500+107.43+1800.71</f>
        <v>3068.14</v>
      </c>
      <c r="E67" s="70">
        <f t="shared" si="14"/>
        <v>-68.14</v>
      </c>
      <c r="F67" s="70"/>
      <c r="G67" s="101"/>
      <c r="H67" s="101"/>
      <c r="I67" s="101"/>
      <c r="J67" s="10"/>
      <c r="K67" s="101"/>
      <c r="L67" s="10"/>
      <c r="M67" s="10"/>
      <c r="N67" s="49"/>
      <c r="O67" s="49"/>
      <c r="P67" s="49"/>
      <c r="Q67" s="49"/>
      <c r="R67" s="49"/>
      <c r="S67" s="49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ht="12.0" customHeight="1">
      <c r="A68" s="18" t="s">
        <v>157</v>
      </c>
      <c r="B68" s="14"/>
      <c r="C68" s="148">
        <v>3500.0</v>
      </c>
      <c r="D68" s="70">
        <f>4256.18+51.78</f>
        <v>4307.96</v>
      </c>
      <c r="E68" s="70">
        <f t="shared" si="14"/>
        <v>-807.96</v>
      </c>
      <c r="F68" s="70"/>
      <c r="G68" s="101"/>
      <c r="H68" s="101"/>
      <c r="I68" s="101"/>
      <c r="J68" s="10"/>
      <c r="K68" s="101"/>
      <c r="L68" s="10"/>
      <c r="M68" s="10" t="s">
        <v>158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ht="12.0" customHeight="1">
      <c r="A69" s="41" t="s">
        <v>74</v>
      </c>
      <c r="B69" s="44"/>
      <c r="C69" s="167">
        <f t="shared" ref="C69:D69" si="16">SUM(C62:C68)</f>
        <v>9600</v>
      </c>
      <c r="D69" s="185">
        <f t="shared" si="16"/>
        <v>9685.28</v>
      </c>
      <c r="E69" s="70">
        <f t="shared" si="14"/>
        <v>-85.28</v>
      </c>
      <c r="F69" s="44"/>
      <c r="G69" s="44">
        <f t="shared" ref="G69:K69" si="17">SUM(G62:G68)</f>
        <v>0</v>
      </c>
      <c r="H69" s="44">
        <f t="shared" si="17"/>
        <v>0</v>
      </c>
      <c r="I69" s="44">
        <f t="shared" si="17"/>
        <v>0</v>
      </c>
      <c r="J69" s="44">
        <f t="shared" si="17"/>
        <v>0</v>
      </c>
      <c r="K69" s="44">
        <f t="shared" si="17"/>
        <v>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ht="12.0" customHeight="1">
      <c r="A70" s="41"/>
      <c r="B70" s="44"/>
      <c r="C70" s="167"/>
      <c r="D70" s="44"/>
      <c r="E70" s="70">
        <f t="shared" si="14"/>
        <v>0</v>
      </c>
      <c r="F70" s="44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ht="12.0" customHeight="1">
      <c r="A71" s="18" t="s">
        <v>159</v>
      </c>
      <c r="B71" s="44"/>
      <c r="C71" s="148">
        <v>200.0</v>
      </c>
      <c r="D71" s="70">
        <v>239.0</v>
      </c>
      <c r="E71" s="70">
        <f t="shared" si="14"/>
        <v>-39</v>
      </c>
      <c r="F71" s="44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ht="12.0" customHeight="1">
      <c r="A72" s="18" t="s">
        <v>78</v>
      </c>
      <c r="B72" s="44"/>
      <c r="C72" s="148">
        <v>1000.0</v>
      </c>
      <c r="D72" s="70">
        <f>26.28+200</f>
        <v>226.28</v>
      </c>
      <c r="E72" s="70">
        <f t="shared" si="14"/>
        <v>773.72</v>
      </c>
      <c r="F72" s="44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ht="12.0" customHeight="1">
      <c r="A73" s="41" t="s">
        <v>98</v>
      </c>
      <c r="B73" s="44"/>
      <c r="C73" s="167">
        <f>SUM(C71:C72)</f>
        <v>1200</v>
      </c>
      <c r="D73" s="134">
        <v>64.82</v>
      </c>
      <c r="E73" s="70">
        <f t="shared" si="14"/>
        <v>1135.18</v>
      </c>
      <c r="F73" s="44"/>
      <c r="G73" s="134">
        <f t="shared" ref="G73:K73" si="18">SUM(G71:G72)</f>
        <v>0</v>
      </c>
      <c r="H73" s="134">
        <f t="shared" si="18"/>
        <v>0</v>
      </c>
      <c r="I73" s="134">
        <f t="shared" si="18"/>
        <v>0</v>
      </c>
      <c r="J73" s="134">
        <f t="shared" si="18"/>
        <v>0</v>
      </c>
      <c r="K73" s="134">
        <f t="shared" si="18"/>
        <v>0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ht="12.0" customHeight="1">
      <c r="A74" s="173" t="s">
        <v>80</v>
      </c>
      <c r="B74" s="188"/>
      <c r="C74" s="189">
        <f t="shared" ref="C74:D74" si="19">C73+C69+C59+C39+C33+C29+C22</f>
        <v>38950</v>
      </c>
      <c r="D74" s="189">
        <f t="shared" si="19"/>
        <v>31612.56</v>
      </c>
      <c r="E74" s="190">
        <f t="shared" si="14"/>
        <v>7337.44</v>
      </c>
      <c r="F74" s="137"/>
      <c r="G74" s="137">
        <f>SUM(G73, G69,G59,G39,G33,G29,G22)</f>
        <v>0</v>
      </c>
      <c r="H74" s="10"/>
      <c r="I74" s="10"/>
      <c r="J74" s="101">
        <v>18215.14</v>
      </c>
      <c r="K74" s="4" t="s">
        <v>126</v>
      </c>
      <c r="L74" s="134">
        <f>K14</f>
        <v>0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ht="14.25" customHeight="1">
      <c r="A75" s="95" t="s">
        <v>99</v>
      </c>
      <c r="B75" s="140"/>
      <c r="C75" s="191"/>
      <c r="D75" s="140"/>
      <c r="E75" s="70"/>
      <c r="F75" s="140"/>
      <c r="G75" s="140">
        <f t="shared" ref="G75:H75" si="20">SUM(G14-G74)</f>
        <v>0</v>
      </c>
      <c r="H75" s="140">
        <f t="shared" si="20"/>
        <v>0</v>
      </c>
      <c r="I75" s="10"/>
      <c r="J75" s="10"/>
      <c r="K75" s="4" t="s">
        <v>127</v>
      </c>
      <c r="L75" s="134">
        <f>K69+K59+K39+K33+K29+K22</f>
        <v>0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ht="14.25" customHeight="1">
      <c r="A76" s="49"/>
      <c r="B76" s="49"/>
      <c r="C76" s="77"/>
      <c r="D76" s="70"/>
      <c r="E76" s="70"/>
      <c r="F76" s="70"/>
      <c r="G76" s="10"/>
      <c r="H76" s="10"/>
      <c r="I76" s="10"/>
      <c r="J76" s="10"/>
      <c r="K76" s="4" t="s">
        <v>128</v>
      </c>
      <c r="L76" s="134">
        <f>L74-L75</f>
        <v>0</v>
      </c>
      <c r="M76" s="163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ht="12.0" customHeight="1">
      <c r="A77" s="43"/>
      <c r="B77" s="97"/>
      <c r="C77" s="192"/>
      <c r="D77" s="52"/>
      <c r="E77" s="52"/>
      <c r="F77" s="52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ht="12.0" customHeight="1">
      <c r="A78" s="49"/>
      <c r="B78" s="49"/>
      <c r="C78" s="77"/>
      <c r="D78" s="70"/>
      <c r="E78" s="70"/>
      <c r="F78" s="7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ht="12.0" customHeight="1">
      <c r="A79" s="49"/>
      <c r="B79" s="49"/>
      <c r="C79" s="77"/>
      <c r="D79" s="70"/>
      <c r="E79" s="70"/>
      <c r="F79" s="7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ht="12.0" customHeight="1">
      <c r="A80" s="49"/>
      <c r="B80" s="49"/>
      <c r="C80" s="77"/>
      <c r="D80" s="70"/>
      <c r="E80" s="70"/>
      <c r="F80" s="7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ht="12.0" customHeight="1">
      <c r="A81" s="49"/>
      <c r="B81" s="49"/>
      <c r="C81" s="3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ht="12.0" customHeight="1">
      <c r="A82" s="49"/>
      <c r="B82" s="49"/>
      <c r="C82" s="3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ht="12.0" customHeight="1">
      <c r="A83" s="49"/>
      <c r="B83" s="49"/>
      <c r="C83" s="3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ht="12.0" customHeight="1">
      <c r="A84" s="49"/>
      <c r="B84" s="49"/>
      <c r="C84" s="3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ht="12.0" customHeight="1">
      <c r="A85" s="49"/>
      <c r="B85" s="49"/>
      <c r="C85" s="3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ht="12.0" customHeight="1">
      <c r="A86" s="49"/>
      <c r="B86" s="49"/>
      <c r="C86" s="33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ht="12.0" customHeight="1">
      <c r="A87" s="49"/>
      <c r="B87" s="49"/>
      <c r="C87" s="33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ht="12.0" hidden="1" customHeight="1">
      <c r="A88" s="49" t="s">
        <v>83</v>
      </c>
      <c r="B88" s="49"/>
      <c r="C88" s="3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ht="12.0" customHeight="1">
      <c r="A89" s="49"/>
      <c r="B89" s="49"/>
      <c r="C89" s="3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ht="12.0" customHeight="1">
      <c r="A90" s="49"/>
      <c r="B90" s="49"/>
      <c r="C90" s="3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ht="12.0" customHeight="1">
      <c r="A91" s="49"/>
      <c r="B91" s="49"/>
      <c r="C91" s="3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ht="12.0" customHeight="1">
      <c r="A92" s="49"/>
      <c r="B92" s="49"/>
      <c r="C92" s="3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ht="12.0" customHeight="1">
      <c r="A93" s="49"/>
      <c r="B93" s="49"/>
      <c r="C93" s="3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ht="12.0" customHeight="1">
      <c r="A94" s="49"/>
      <c r="B94" s="49"/>
      <c r="C94" s="3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ht="12.0" customHeight="1">
      <c r="A95" s="49"/>
      <c r="B95" s="49"/>
      <c r="C95" s="3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ht="12.0" customHeight="1">
      <c r="A96" s="49"/>
      <c r="B96" s="49"/>
      <c r="C96" s="3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ht="12.0" customHeight="1">
      <c r="A97" s="49"/>
      <c r="B97" s="49"/>
      <c r="C97" s="3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ht="12.0" customHeight="1">
      <c r="A98" s="49"/>
      <c r="B98" s="49"/>
      <c r="C98" s="33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ht="12.0" customHeight="1">
      <c r="A99" s="49"/>
      <c r="B99" s="49"/>
      <c r="C99" s="3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ht="12.0" customHeight="1">
      <c r="A100" s="49"/>
      <c r="B100" s="49"/>
      <c r="C100" s="33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ht="12.0" customHeight="1">
      <c r="A101" s="49"/>
      <c r="B101" s="49"/>
      <c r="C101" s="3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ht="12.0" customHeight="1">
      <c r="A102" s="49"/>
      <c r="B102" s="49"/>
      <c r="C102" s="33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ht="12.0" customHeight="1">
      <c r="A103" s="49"/>
      <c r="B103" s="49"/>
      <c r="C103" s="3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ht="12.0" customHeight="1">
      <c r="A104" s="49"/>
      <c r="B104" s="49"/>
      <c r="C104" s="33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ht="12.0" customHeight="1">
      <c r="A105" s="49"/>
      <c r="B105" s="49"/>
      <c r="C105" s="33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ht="12.0" customHeight="1">
      <c r="A106" s="49"/>
      <c r="B106" s="49"/>
      <c r="C106" s="33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ht="12.0" customHeight="1">
      <c r="A107" s="49"/>
      <c r="B107" s="49"/>
      <c r="C107" s="33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ht="12.0" customHeight="1">
      <c r="A108" s="49"/>
      <c r="B108" s="49"/>
      <c r="C108" s="33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ht="12.0" customHeight="1">
      <c r="A109" s="49"/>
      <c r="B109" s="49"/>
      <c r="C109" s="33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ht="12.0" customHeight="1">
      <c r="A110" s="49"/>
      <c r="B110" s="49"/>
      <c r="C110" s="33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ht="12.0" customHeight="1">
      <c r="A111" s="49"/>
      <c r="B111" s="49"/>
      <c r="C111" s="33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ht="12.0" customHeight="1">
      <c r="A112" s="49"/>
      <c r="B112" s="49"/>
      <c r="C112" s="33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ht="12.0" customHeight="1">
      <c r="A113" s="49"/>
      <c r="B113" s="49"/>
      <c r="C113" s="3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ht="12.0" customHeight="1">
      <c r="A114" s="49"/>
      <c r="B114" s="49"/>
      <c r="C114" s="33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ht="12.0" customHeight="1">
      <c r="A115" s="49"/>
      <c r="B115" s="49"/>
      <c r="C115" s="33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ht="12.0" customHeight="1">
      <c r="A116" s="49"/>
      <c r="B116" s="49"/>
      <c r="C116" s="33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ht="12.0" customHeight="1">
      <c r="A117" s="49"/>
      <c r="B117" s="49"/>
      <c r="C117" s="33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ht="12.0" customHeight="1">
      <c r="A118" s="49"/>
      <c r="B118" s="49"/>
      <c r="C118" s="33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ht="12.0" customHeight="1">
      <c r="A119" s="49"/>
      <c r="B119" s="49"/>
      <c r="C119" s="33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ht="12.0" customHeight="1">
      <c r="A120" s="49"/>
      <c r="B120" s="49"/>
      <c r="C120" s="33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ht="12.0" customHeight="1">
      <c r="A121" s="10"/>
      <c r="B121" s="10"/>
      <c r="C121" s="78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ht="12.0" customHeight="1">
      <c r="A122" s="10"/>
      <c r="B122" s="10"/>
      <c r="C122" s="78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ht="12.0" customHeight="1">
      <c r="A123" s="10"/>
      <c r="B123" s="10"/>
      <c r="C123" s="78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ht="12.0" customHeight="1">
      <c r="A124" s="10"/>
      <c r="B124" s="10"/>
      <c r="C124" s="78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ht="12.0" customHeight="1">
      <c r="A125" s="10"/>
      <c r="B125" s="10"/>
      <c r="C125" s="78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ht="12.0" customHeight="1">
      <c r="A126" s="10"/>
      <c r="B126" s="10"/>
      <c r="C126" s="78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ht="12.0" customHeight="1">
      <c r="A127" s="10"/>
      <c r="B127" s="10"/>
      <c r="C127" s="78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ht="12.0" customHeight="1">
      <c r="A128" s="10"/>
      <c r="B128" s="10"/>
      <c r="C128" s="78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ht="12.0" customHeight="1">
      <c r="A129" s="10"/>
      <c r="B129" s="10"/>
      <c r="C129" s="78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ht="12.0" customHeight="1">
      <c r="A130" s="10"/>
      <c r="B130" s="10"/>
      <c r="C130" s="78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ht="12.0" customHeight="1">
      <c r="A131" s="10"/>
      <c r="B131" s="10"/>
      <c r="C131" s="78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ht="12.0" customHeight="1">
      <c r="A132" s="10"/>
      <c r="B132" s="10"/>
      <c r="C132" s="7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ht="12.0" customHeight="1">
      <c r="A133" s="10"/>
      <c r="B133" s="10"/>
      <c r="C133" s="78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ht="12.0" customHeight="1">
      <c r="A134" s="10"/>
      <c r="B134" s="10"/>
      <c r="C134" s="78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ht="12.0" customHeight="1">
      <c r="A135" s="10"/>
      <c r="B135" s="10"/>
      <c r="C135" s="78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ht="12.0" customHeight="1">
      <c r="A136" s="10"/>
      <c r="B136" s="10"/>
      <c r="C136" s="78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ht="12.0" customHeight="1">
      <c r="A137" s="10"/>
      <c r="B137" s="10"/>
      <c r="C137" s="78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ht="12.0" customHeight="1">
      <c r="A138" s="10"/>
      <c r="B138" s="10"/>
      <c r="C138" s="78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ht="12.0" customHeight="1">
      <c r="A139" s="10"/>
      <c r="B139" s="10"/>
      <c r="C139" s="78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ht="12.0" customHeight="1">
      <c r="A140" s="10"/>
      <c r="B140" s="10"/>
      <c r="C140" s="78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ht="12.0" customHeight="1">
      <c r="A141" s="10"/>
      <c r="B141" s="10"/>
      <c r="C141" s="78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ht="12.0" customHeight="1">
      <c r="A142" s="10"/>
      <c r="B142" s="10"/>
      <c r="C142" s="78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ht="12.0" customHeight="1">
      <c r="A143" s="10"/>
      <c r="B143" s="10"/>
      <c r="C143" s="7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ht="12.0" customHeight="1">
      <c r="A144" s="10"/>
      <c r="B144" s="10"/>
      <c r="C144" s="78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ht="12.0" customHeight="1">
      <c r="A145" s="10"/>
      <c r="B145" s="10"/>
      <c r="C145" s="78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ht="12.0" customHeight="1">
      <c r="A146" s="10"/>
      <c r="B146" s="10"/>
      <c r="C146" s="78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ht="12.0" customHeight="1">
      <c r="A147" s="10"/>
      <c r="B147" s="10"/>
      <c r="C147" s="78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ht="12.0" customHeight="1">
      <c r="A148" s="10"/>
      <c r="B148" s="10"/>
      <c r="C148" s="78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ht="12.0" customHeight="1">
      <c r="A149" s="10"/>
      <c r="B149" s="10"/>
      <c r="C149" s="78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ht="12.0" customHeight="1">
      <c r="A150" s="10"/>
      <c r="B150" s="10"/>
      <c r="C150" s="7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ht="12.0" customHeight="1">
      <c r="A151" s="10"/>
      <c r="B151" s="10"/>
      <c r="C151" s="7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ht="12.0" customHeight="1">
      <c r="A152" s="10"/>
      <c r="B152" s="10"/>
      <c r="C152" s="78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ht="12.0" customHeight="1">
      <c r="A153" s="10"/>
      <c r="B153" s="10"/>
      <c r="C153" s="78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ht="12.0" customHeight="1">
      <c r="A154" s="10"/>
      <c r="B154" s="10"/>
      <c r="C154" s="7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ht="12.0" customHeight="1">
      <c r="A155" s="10"/>
      <c r="B155" s="10"/>
      <c r="C155" s="78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ht="12.0" customHeight="1">
      <c r="A156" s="10"/>
      <c r="B156" s="10"/>
      <c r="C156" s="78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ht="12.0" customHeight="1">
      <c r="A157" s="10"/>
      <c r="B157" s="10"/>
      <c r="C157" s="78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ht="12.0" customHeight="1">
      <c r="A158" s="10"/>
      <c r="B158" s="10"/>
      <c r="C158" s="78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ht="12.0" customHeight="1">
      <c r="A159" s="10"/>
      <c r="B159" s="10"/>
      <c r="C159" s="78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ht="12.0" customHeight="1">
      <c r="A160" s="10"/>
      <c r="B160" s="10"/>
      <c r="C160" s="78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ht="12.0" customHeight="1">
      <c r="A161" s="10"/>
      <c r="B161" s="10"/>
      <c r="C161" s="78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ht="12.0" customHeight="1">
      <c r="A162" s="10"/>
      <c r="B162" s="10"/>
      <c r="C162" s="78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ht="12.0" customHeight="1">
      <c r="A163" s="10"/>
      <c r="B163" s="10"/>
      <c r="C163" s="78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ht="12.0" customHeight="1">
      <c r="A164" s="10"/>
      <c r="B164" s="10"/>
      <c r="C164" s="78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ht="12.0" customHeight="1">
      <c r="A165" s="10"/>
      <c r="B165" s="10"/>
      <c r="C165" s="78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ht="12.0" customHeight="1">
      <c r="A166" s="10"/>
      <c r="B166" s="10"/>
      <c r="C166" s="78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ht="12.0" customHeight="1">
      <c r="A167" s="10"/>
      <c r="B167" s="10"/>
      <c r="C167" s="78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ht="12.0" customHeight="1">
      <c r="A168" s="10"/>
      <c r="B168" s="10"/>
      <c r="C168" s="78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ht="12.0" customHeight="1">
      <c r="A169" s="10"/>
      <c r="B169" s="10"/>
      <c r="C169" s="78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ht="12.0" customHeight="1">
      <c r="A170" s="10"/>
      <c r="B170" s="10"/>
      <c r="C170" s="78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ht="12.0" customHeight="1">
      <c r="A171" s="10"/>
      <c r="B171" s="10"/>
      <c r="C171" s="78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ht="12.0" customHeight="1">
      <c r="A172" s="10"/>
      <c r="B172" s="10"/>
      <c r="C172" s="78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ht="12.0" customHeight="1">
      <c r="A173" s="10"/>
      <c r="B173" s="10"/>
      <c r="C173" s="78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ht="12.0" customHeight="1">
      <c r="A174" s="10"/>
      <c r="B174" s="10"/>
      <c r="C174" s="78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ht="12.0" customHeight="1">
      <c r="A175" s="10"/>
      <c r="B175" s="10"/>
      <c r="C175" s="78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ht="12.0" customHeight="1">
      <c r="A176" s="10"/>
      <c r="B176" s="10"/>
      <c r="C176" s="78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ht="12.0" customHeight="1">
      <c r="A177" s="10"/>
      <c r="B177" s="10"/>
      <c r="C177" s="78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ht="12.0" customHeight="1">
      <c r="A178" s="10"/>
      <c r="B178" s="10"/>
      <c r="C178" s="78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ht="12.0" customHeight="1">
      <c r="A179" s="10"/>
      <c r="B179" s="10"/>
      <c r="C179" s="78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ht="12.0" customHeight="1">
      <c r="A180" s="10"/>
      <c r="B180" s="10"/>
      <c r="C180" s="78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ht="12.0" customHeight="1">
      <c r="A181" s="10"/>
      <c r="B181" s="10"/>
      <c r="C181" s="78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ht="12.0" customHeight="1">
      <c r="A182" s="10"/>
      <c r="B182" s="10"/>
      <c r="C182" s="78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ht="12.0" customHeight="1">
      <c r="A183" s="10"/>
      <c r="B183" s="10"/>
      <c r="C183" s="78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ht="12.0" customHeight="1">
      <c r="A184" s="10"/>
      <c r="B184" s="10"/>
      <c r="C184" s="78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ht="12.0" customHeight="1">
      <c r="A185" s="10"/>
      <c r="B185" s="10"/>
      <c r="C185" s="78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ht="12.0" customHeight="1">
      <c r="A186" s="10"/>
      <c r="B186" s="10"/>
      <c r="C186" s="7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ht="12.0" customHeight="1">
      <c r="A187" s="10"/>
      <c r="B187" s="10"/>
      <c r="C187" s="78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ht="12.0" customHeight="1">
      <c r="A188" s="10"/>
      <c r="B188" s="10"/>
      <c r="C188" s="78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ht="12.0" customHeight="1">
      <c r="A189" s="10"/>
      <c r="B189" s="10"/>
      <c r="C189" s="78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ht="12.0" customHeight="1">
      <c r="A190" s="10"/>
      <c r="B190" s="10"/>
      <c r="C190" s="78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ht="12.0" customHeight="1">
      <c r="A191" s="10"/>
      <c r="B191" s="10"/>
      <c r="C191" s="78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ht="12.0" customHeight="1">
      <c r="A192" s="10"/>
      <c r="B192" s="10"/>
      <c r="C192" s="78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ht="12.0" customHeight="1">
      <c r="A193" s="10"/>
      <c r="B193" s="10"/>
      <c r="C193" s="7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ht="12.0" customHeight="1">
      <c r="A194" s="10"/>
      <c r="B194" s="10"/>
      <c r="C194" s="78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ht="12.0" customHeight="1">
      <c r="A195" s="10"/>
      <c r="B195" s="10"/>
      <c r="C195" s="78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ht="12.0" customHeight="1">
      <c r="A196" s="10"/>
      <c r="B196" s="10"/>
      <c r="C196" s="78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ht="12.0" customHeight="1">
      <c r="A197" s="10"/>
      <c r="B197" s="10"/>
      <c r="C197" s="78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ht="12.0" customHeight="1">
      <c r="A198" s="10"/>
      <c r="B198" s="10"/>
      <c r="C198" s="78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ht="12.0" customHeight="1">
      <c r="A199" s="10"/>
      <c r="B199" s="10"/>
      <c r="C199" s="78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ht="12.0" customHeight="1">
      <c r="A200" s="10"/>
      <c r="B200" s="10"/>
      <c r="C200" s="78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ht="12.0" customHeight="1">
      <c r="A201" s="10"/>
      <c r="B201" s="10"/>
      <c r="C201" s="78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ht="12.0" customHeight="1">
      <c r="A202" s="10"/>
      <c r="B202" s="10"/>
      <c r="C202" s="7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ht="12.0" customHeight="1">
      <c r="A203" s="10"/>
      <c r="B203" s="10"/>
      <c r="C203" s="7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ht="12.0" customHeight="1">
      <c r="A204" s="10"/>
      <c r="B204" s="10"/>
      <c r="C204" s="78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ht="12.0" customHeight="1">
      <c r="A205" s="10"/>
      <c r="B205" s="10"/>
      <c r="C205" s="7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ht="12.0" customHeight="1">
      <c r="A206" s="10"/>
      <c r="B206" s="10"/>
      <c r="C206" s="78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ht="12.0" customHeight="1">
      <c r="A207" s="10"/>
      <c r="B207" s="10"/>
      <c r="C207" s="78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ht="12.0" customHeight="1">
      <c r="A208" s="10"/>
      <c r="B208" s="10"/>
      <c r="C208" s="78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ht="12.0" customHeight="1">
      <c r="A209" s="10"/>
      <c r="B209" s="10"/>
      <c r="C209" s="7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ht="12.0" customHeight="1">
      <c r="A210" s="10"/>
      <c r="B210" s="10"/>
      <c r="C210" s="78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ht="12.0" customHeight="1">
      <c r="A211" s="10"/>
      <c r="B211" s="10"/>
      <c r="C211" s="78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ht="12.0" customHeight="1">
      <c r="A212" s="10"/>
      <c r="B212" s="10"/>
      <c r="C212" s="78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ht="12.0" customHeight="1">
      <c r="A213" s="10"/>
      <c r="B213" s="10"/>
      <c r="C213" s="78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ht="12.0" customHeight="1">
      <c r="A214" s="10"/>
      <c r="B214" s="10"/>
      <c r="C214" s="7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ht="12.0" customHeight="1">
      <c r="A215" s="10"/>
      <c r="B215" s="10"/>
      <c r="C215" s="7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ht="12.0" customHeight="1">
      <c r="A216" s="10"/>
      <c r="B216" s="10"/>
      <c r="C216" s="78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ht="12.0" customHeight="1">
      <c r="A217" s="10"/>
      <c r="B217" s="10"/>
      <c r="C217" s="7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ht="12.0" customHeight="1">
      <c r="A218" s="10"/>
      <c r="B218" s="10"/>
      <c r="C218" s="78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ht="12.0" customHeight="1">
      <c r="A219" s="10"/>
      <c r="B219" s="10"/>
      <c r="C219" s="78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ht="12.0" customHeight="1">
      <c r="A220" s="10"/>
      <c r="B220" s="10"/>
      <c r="C220" s="78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ht="12.0" customHeight="1">
      <c r="A221" s="10"/>
      <c r="B221" s="10"/>
      <c r="C221" s="7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ht="12.0" customHeight="1">
      <c r="A222" s="10"/>
      <c r="B222" s="10"/>
      <c r="C222" s="78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ht="12.0" customHeight="1">
      <c r="A223" s="10"/>
      <c r="B223" s="10"/>
      <c r="C223" s="78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ht="12.0" customHeight="1">
      <c r="A224" s="10"/>
      <c r="B224" s="10"/>
      <c r="C224" s="78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ht="12.0" customHeight="1">
      <c r="A225" s="10"/>
      <c r="B225" s="10"/>
      <c r="C225" s="78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ht="12.0" customHeight="1">
      <c r="A226" s="10"/>
      <c r="B226" s="10"/>
      <c r="C226" s="78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ht="12.0" customHeight="1">
      <c r="A227" s="10"/>
      <c r="B227" s="10"/>
      <c r="C227" s="78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ht="12.0" customHeight="1">
      <c r="A228" s="10"/>
      <c r="B228" s="10"/>
      <c r="C228" s="78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ht="12.0" customHeight="1">
      <c r="A229" s="10"/>
      <c r="B229" s="10"/>
      <c r="C229" s="78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ht="12.0" customHeight="1">
      <c r="A230" s="10"/>
      <c r="B230" s="10"/>
      <c r="C230" s="78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ht="12.0" customHeight="1">
      <c r="A231" s="10"/>
      <c r="B231" s="10"/>
      <c r="C231" s="78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ht="12.0" customHeight="1">
      <c r="A232" s="10"/>
      <c r="B232" s="10"/>
      <c r="C232" s="7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ht="12.0" customHeight="1">
      <c r="A233" s="10"/>
      <c r="B233" s="10"/>
      <c r="C233" s="7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ht="12.0" customHeight="1">
      <c r="A234" s="10"/>
      <c r="B234" s="10"/>
      <c r="C234" s="78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ht="12.0" customHeight="1">
      <c r="A235" s="10"/>
      <c r="B235" s="10"/>
      <c r="C235" s="78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ht="12.0" customHeight="1">
      <c r="A236" s="10"/>
      <c r="B236" s="10"/>
      <c r="C236" s="78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ht="12.0" customHeight="1">
      <c r="A237" s="10"/>
      <c r="B237" s="10"/>
      <c r="C237" s="78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ht="12.0" customHeight="1">
      <c r="A238" s="10"/>
      <c r="B238" s="10"/>
      <c r="C238" s="7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ht="12.0" customHeight="1">
      <c r="A239" s="10"/>
      <c r="B239" s="10"/>
      <c r="C239" s="78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ht="12.0" customHeight="1">
      <c r="A240" s="10"/>
      <c r="B240" s="10"/>
      <c r="C240" s="78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ht="12.0" customHeight="1">
      <c r="A241" s="10"/>
      <c r="B241" s="10"/>
      <c r="C241" s="78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ht="12.0" customHeight="1">
      <c r="A242" s="10"/>
      <c r="B242" s="10"/>
      <c r="C242" s="78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ht="12.0" customHeight="1">
      <c r="A243" s="10"/>
      <c r="B243" s="10"/>
      <c r="C243" s="78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ht="12.0" customHeight="1">
      <c r="A244" s="10"/>
      <c r="B244" s="10"/>
      <c r="C244" s="78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ht="12.0" customHeight="1">
      <c r="A245" s="10"/>
      <c r="B245" s="10"/>
      <c r="C245" s="78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ht="12.0" customHeight="1">
      <c r="A246" s="10"/>
      <c r="B246" s="10"/>
      <c r="C246" s="78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ht="12.0" customHeight="1">
      <c r="A247" s="10"/>
      <c r="B247" s="10"/>
      <c r="C247" s="78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ht="12.0" customHeight="1">
      <c r="A248" s="10"/>
      <c r="B248" s="10"/>
      <c r="C248" s="78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ht="12.0" customHeight="1">
      <c r="A249" s="10"/>
      <c r="B249" s="10"/>
      <c r="C249" s="78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ht="12.0" customHeight="1">
      <c r="A250" s="10"/>
      <c r="B250" s="10"/>
      <c r="C250" s="78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ht="12.0" customHeight="1">
      <c r="A251" s="10"/>
      <c r="B251" s="10"/>
      <c r="C251" s="78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ht="12.0" customHeight="1">
      <c r="A252" s="10"/>
      <c r="B252" s="10"/>
      <c r="C252" s="78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ht="12.0" customHeight="1">
      <c r="A253" s="10"/>
      <c r="B253" s="10"/>
      <c r="C253" s="78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ht="12.0" customHeight="1">
      <c r="A254" s="10"/>
      <c r="B254" s="10"/>
      <c r="C254" s="78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ht="12.0" customHeight="1">
      <c r="A255" s="10"/>
      <c r="B255" s="10"/>
      <c r="C255" s="78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ht="12.0" customHeight="1">
      <c r="A256" s="10"/>
      <c r="B256" s="10"/>
      <c r="C256" s="78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ht="12.0" customHeight="1">
      <c r="A257" s="10"/>
      <c r="B257" s="10"/>
      <c r="C257" s="78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ht="12.0" customHeight="1">
      <c r="A258" s="10"/>
      <c r="B258" s="10"/>
      <c r="C258" s="78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ht="12.0" customHeight="1">
      <c r="A259" s="10"/>
      <c r="B259" s="10"/>
      <c r="C259" s="78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ht="12.0" customHeight="1">
      <c r="A260" s="10"/>
      <c r="B260" s="10"/>
      <c r="C260" s="78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ht="12.0" customHeight="1">
      <c r="A261" s="10"/>
      <c r="B261" s="10"/>
      <c r="C261" s="78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ht="12.0" customHeight="1">
      <c r="A262" s="10"/>
      <c r="B262" s="10"/>
      <c r="C262" s="78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ht="12.0" customHeight="1">
      <c r="A263" s="10"/>
      <c r="B263" s="10"/>
      <c r="C263" s="78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ht="12.0" customHeight="1">
      <c r="A264" s="10"/>
      <c r="B264" s="10"/>
      <c r="C264" s="78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ht="12.0" customHeight="1">
      <c r="A265" s="10"/>
      <c r="B265" s="10"/>
      <c r="C265" s="78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ht="12.0" customHeight="1">
      <c r="A266" s="10"/>
      <c r="B266" s="10"/>
      <c r="C266" s="78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ht="12.0" customHeight="1">
      <c r="A267" s="10"/>
      <c r="B267" s="10"/>
      <c r="C267" s="78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ht="12.0" customHeight="1">
      <c r="A268" s="10"/>
      <c r="B268" s="10"/>
      <c r="C268" s="78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ht="12.0" customHeight="1">
      <c r="A269" s="10"/>
      <c r="B269" s="10"/>
      <c r="C269" s="78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ht="12.0" customHeight="1">
      <c r="A270" s="10"/>
      <c r="B270" s="10"/>
      <c r="C270" s="78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ht="12.0" customHeight="1">
      <c r="A271" s="10"/>
      <c r="B271" s="10"/>
      <c r="C271" s="78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ht="12.0" customHeight="1">
      <c r="A272" s="10"/>
      <c r="B272" s="10"/>
      <c r="C272" s="78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ht="12.0" customHeight="1">
      <c r="A273" s="10"/>
      <c r="B273" s="10"/>
      <c r="C273" s="78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ht="12.0" customHeight="1">
      <c r="A274" s="10"/>
      <c r="B274" s="10"/>
      <c r="C274" s="78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ht="12.0" customHeight="1">
      <c r="A275" s="10"/>
      <c r="B275" s="10"/>
      <c r="C275" s="78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ht="12.0" customHeight="1">
      <c r="A276" s="10"/>
      <c r="B276" s="10"/>
      <c r="C276" s="78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ht="12.0" customHeight="1">
      <c r="A277" s="10"/>
      <c r="B277" s="10"/>
      <c r="C277" s="78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ht="12.0" customHeight="1">
      <c r="A278" s="10"/>
      <c r="B278" s="10"/>
      <c r="C278" s="78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ht="12.0" customHeight="1">
      <c r="A279" s="10"/>
      <c r="B279" s="10"/>
      <c r="C279" s="78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ht="12.0" customHeight="1">
      <c r="A280" s="10"/>
      <c r="B280" s="10"/>
      <c r="C280" s="78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ht="12.0" customHeight="1">
      <c r="A281" s="10"/>
      <c r="B281" s="10"/>
      <c r="C281" s="78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ht="12.0" customHeight="1">
      <c r="A282" s="10"/>
      <c r="B282" s="10"/>
      <c r="C282" s="78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ht="12.0" customHeight="1">
      <c r="A283" s="10"/>
      <c r="B283" s="10"/>
      <c r="C283" s="78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ht="12.0" customHeight="1">
      <c r="A284" s="10"/>
      <c r="B284" s="10"/>
      <c r="C284" s="78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ht="12.0" customHeight="1">
      <c r="A285" s="10"/>
      <c r="B285" s="10"/>
      <c r="C285" s="78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ht="12.0" customHeight="1">
      <c r="A286" s="10"/>
      <c r="B286" s="10"/>
      <c r="C286" s="78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ht="12.0" customHeight="1">
      <c r="A287" s="10"/>
      <c r="B287" s="10"/>
      <c r="C287" s="78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ht="12.0" customHeight="1">
      <c r="A288" s="10"/>
      <c r="B288" s="10"/>
      <c r="C288" s="78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2020-09-08T21:39:28Z</dcterms:created>
  <dc:creator>Gilad Klein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e3c538-ec52-435f-ae58-017644bd9513_Enabled">
    <vt:lpwstr>true</vt:lpwstr>
  </property>
  <property fmtid="{D5CDD505-2E9C-101B-9397-08002B2CF9AE}" pid="3" name="MSIP_Label_0ee3c538-ec52-435f-ae58-017644bd9513_SetDate">
    <vt:lpwstr>2022-03-18T15:44:50Z</vt:lpwstr>
  </property>
  <property fmtid="{D5CDD505-2E9C-101B-9397-08002B2CF9AE}" pid="4" name="MSIP_Label_0ee3c538-ec52-435f-ae58-017644bd9513_Method">
    <vt:lpwstr>Standard</vt:lpwstr>
  </property>
  <property fmtid="{D5CDD505-2E9C-101B-9397-08002B2CF9AE}" pid="5" name="MSIP_Label_0ee3c538-ec52-435f-ae58-017644bd9513_Name">
    <vt:lpwstr>0ee3c538-ec52-435f-ae58-017644bd9513</vt:lpwstr>
  </property>
  <property fmtid="{D5CDD505-2E9C-101B-9397-08002B2CF9AE}" pid="6" name="MSIP_Label_0ee3c538-ec52-435f-ae58-017644bd9513_SiteId">
    <vt:lpwstr>0cdcb198-8169-4b70-ba9f-da7e3ba700c2</vt:lpwstr>
  </property>
  <property fmtid="{D5CDD505-2E9C-101B-9397-08002B2CF9AE}" pid="7" name="MSIP_Label_0ee3c538-ec52-435f-ae58-017644bd9513_ActionId">
    <vt:lpwstr>a734e371-417f-44b1-b177-0a0a6e2abcbe</vt:lpwstr>
  </property>
  <property fmtid="{D5CDD505-2E9C-101B-9397-08002B2CF9AE}" pid="8" name="MSIP_Label_0ee3c538-ec52-435f-ae58-017644bd9513_ContentBits">
    <vt:lpwstr>0</vt:lpwstr>
  </property>
</Properties>
</file>